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avis\Downloads\"/>
    </mc:Choice>
  </mc:AlternateContent>
  <xr:revisionPtr revIDLastSave="0" documentId="13_ncr:1_{600FBD49-ACE5-40E8-92B6-BCD1D30F154F}" xr6:coauthVersionLast="47" xr6:coauthVersionMax="47" xr10:uidLastSave="{00000000-0000-0000-0000-000000000000}"/>
  <bookViews>
    <workbookView xWindow="-108" yWindow="-108" windowWidth="23256" windowHeight="12456" xr2:uid="{5418C058-549A-467F-947E-5A1C07AC8F13}"/>
  </bookViews>
  <sheets>
    <sheet name="ODE - TIS" sheetId="1" r:id="rId1"/>
  </sheets>
  <definedNames>
    <definedName name="_xlnm.Print_Area" localSheetId="0">'ODE - TIS'!$A:$M</definedName>
    <definedName name="_xlnm.Print_Titles" localSheetId="0">'ODE - TIS'!$1:$7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9" i="1" l="1"/>
  <c r="F119" i="1"/>
  <c r="E119" i="1"/>
  <c r="D119" i="1"/>
  <c r="C119" i="1"/>
  <c r="G118" i="1"/>
  <c r="G120" i="1" s="1"/>
  <c r="F118" i="1"/>
  <c r="F120" i="1" s="1"/>
  <c r="E118" i="1"/>
  <c r="E120" i="1" s="1"/>
  <c r="D118" i="1"/>
  <c r="D120" i="1" s="1"/>
  <c r="C118" i="1"/>
  <c r="G115" i="1"/>
  <c r="K112" i="1"/>
  <c r="G112" i="1"/>
  <c r="F112" i="1"/>
  <c r="E112" i="1"/>
  <c r="D112" i="1"/>
  <c r="C112" i="1"/>
  <c r="G111" i="1"/>
  <c r="F111" i="1"/>
  <c r="E111" i="1"/>
  <c r="D111" i="1"/>
  <c r="C111" i="1"/>
  <c r="G110" i="1"/>
  <c r="F110" i="1"/>
  <c r="E110" i="1"/>
  <c r="D110" i="1"/>
  <c r="C110" i="1"/>
  <c r="I109" i="1"/>
  <c r="G109" i="1"/>
  <c r="F109" i="1"/>
  <c r="E109" i="1"/>
  <c r="D109" i="1"/>
  <c r="C109" i="1"/>
  <c r="G108" i="1"/>
  <c r="F108" i="1"/>
  <c r="E108" i="1"/>
  <c r="D108" i="1"/>
  <c r="C108" i="1"/>
  <c r="G107" i="1"/>
  <c r="F107" i="1"/>
  <c r="E107" i="1"/>
  <c r="D107" i="1"/>
  <c r="C107" i="1"/>
  <c r="G106" i="1"/>
  <c r="F106" i="1"/>
  <c r="E106" i="1"/>
  <c r="D106" i="1"/>
  <c r="C106" i="1"/>
  <c r="L103" i="1"/>
  <c r="K103" i="1"/>
  <c r="J103" i="1"/>
  <c r="I103" i="1"/>
  <c r="H103" i="1"/>
  <c r="G103" i="1"/>
  <c r="F103" i="1"/>
  <c r="E103" i="1"/>
  <c r="D103" i="1"/>
  <c r="C103" i="1"/>
  <c r="L102" i="1"/>
  <c r="K102" i="1"/>
  <c r="J102" i="1"/>
  <c r="I102" i="1"/>
  <c r="H102" i="1"/>
  <c r="G102" i="1"/>
  <c r="F102" i="1"/>
  <c r="E102" i="1"/>
  <c r="D102" i="1"/>
  <c r="L101" i="1"/>
  <c r="K101" i="1"/>
  <c r="J101" i="1"/>
  <c r="I101" i="1"/>
  <c r="H101" i="1"/>
  <c r="G101" i="1"/>
  <c r="F101" i="1"/>
  <c r="E101" i="1"/>
  <c r="D101" i="1"/>
  <c r="L100" i="1"/>
  <c r="K100" i="1"/>
  <c r="J100" i="1"/>
  <c r="I100" i="1"/>
  <c r="H100" i="1"/>
  <c r="G100" i="1"/>
  <c r="F100" i="1"/>
  <c r="E100" i="1"/>
  <c r="D100" i="1"/>
  <c r="L99" i="1"/>
  <c r="K99" i="1"/>
  <c r="J99" i="1"/>
  <c r="I99" i="1"/>
  <c r="H99" i="1"/>
  <c r="G99" i="1"/>
  <c r="F99" i="1"/>
  <c r="E99" i="1"/>
  <c r="D99" i="1"/>
  <c r="G98" i="1"/>
  <c r="F98" i="1"/>
  <c r="L97" i="1"/>
  <c r="L98" i="1" s="1"/>
  <c r="K97" i="1"/>
  <c r="K98" i="1" s="1"/>
  <c r="J97" i="1"/>
  <c r="J98" i="1" s="1"/>
  <c r="I97" i="1"/>
  <c r="I98" i="1" s="1"/>
  <c r="H97" i="1"/>
  <c r="H98" i="1" s="1"/>
  <c r="G97" i="1"/>
  <c r="F97" i="1"/>
  <c r="E97" i="1"/>
  <c r="E98" i="1" s="1"/>
  <c r="D97" i="1"/>
  <c r="D98" i="1" s="1"/>
  <c r="C97" i="1"/>
  <c r="C98" i="1" s="1"/>
  <c r="D92" i="1"/>
  <c r="N92" i="1" s="1"/>
  <c r="C92" i="1"/>
  <c r="N90" i="1"/>
  <c r="V90" i="1"/>
  <c r="U90" i="1"/>
  <c r="T90" i="1"/>
  <c r="S90" i="1"/>
  <c r="R90" i="1"/>
  <c r="G90" i="1"/>
  <c r="Q90" i="1" s="1"/>
  <c r="F90" i="1"/>
  <c r="F92" i="1" s="1"/>
  <c r="E90" i="1"/>
  <c r="P90" i="1" s="1"/>
  <c r="Q89" i="1"/>
  <c r="P89" i="1"/>
  <c r="O89" i="1"/>
  <c r="N89" i="1"/>
  <c r="V89" i="1"/>
  <c r="U89" i="1"/>
  <c r="R89" i="1"/>
  <c r="G89" i="1"/>
  <c r="Q88" i="1"/>
  <c r="P88" i="1"/>
  <c r="O88" i="1"/>
  <c r="N88" i="1"/>
  <c r="V88" i="1"/>
  <c r="T88" i="1"/>
  <c r="R88" i="1"/>
  <c r="R85" i="1"/>
  <c r="Q85" i="1"/>
  <c r="P85" i="1"/>
  <c r="O85" i="1"/>
  <c r="N85" i="1"/>
  <c r="V85" i="1"/>
  <c r="S85" i="1"/>
  <c r="Q84" i="1"/>
  <c r="P84" i="1"/>
  <c r="O84" i="1"/>
  <c r="N84" i="1"/>
  <c r="V84" i="1"/>
  <c r="T84" i="1"/>
  <c r="S84" i="1"/>
  <c r="R84" i="1"/>
  <c r="R83" i="1"/>
  <c r="Q83" i="1"/>
  <c r="P83" i="1"/>
  <c r="O83" i="1"/>
  <c r="N83" i="1"/>
  <c r="V83" i="1"/>
  <c r="R82" i="1"/>
  <c r="Q82" i="1"/>
  <c r="P82" i="1"/>
  <c r="O82" i="1"/>
  <c r="N82" i="1"/>
  <c r="V82" i="1"/>
  <c r="T82" i="1"/>
  <c r="S82" i="1"/>
  <c r="Q80" i="1"/>
  <c r="P80" i="1"/>
  <c r="O80" i="1"/>
  <c r="N80" i="1"/>
  <c r="V80" i="1"/>
  <c r="S80" i="1"/>
  <c r="R80" i="1"/>
  <c r="Q78" i="1"/>
  <c r="P78" i="1"/>
  <c r="O78" i="1"/>
  <c r="N78" i="1"/>
  <c r="V78" i="1"/>
  <c r="U78" i="1"/>
  <c r="R78" i="1"/>
  <c r="Q76" i="1"/>
  <c r="N76" i="1"/>
  <c r="S76" i="1"/>
  <c r="Q74" i="1"/>
  <c r="P74" i="1"/>
  <c r="O74" i="1"/>
  <c r="N74" i="1"/>
  <c r="V74" i="1"/>
  <c r="U74" i="1"/>
  <c r="T74" i="1"/>
  <c r="R74" i="1"/>
  <c r="Q73" i="1"/>
  <c r="P73" i="1"/>
  <c r="O73" i="1"/>
  <c r="N73" i="1"/>
  <c r="U73" i="1"/>
  <c r="T73" i="1"/>
  <c r="R73" i="1"/>
  <c r="V72" i="1"/>
  <c r="R72" i="1"/>
  <c r="Q72" i="1"/>
  <c r="P72" i="1"/>
  <c r="O72" i="1"/>
  <c r="N72" i="1"/>
  <c r="T72" i="1"/>
  <c r="S72" i="1"/>
  <c r="V67" i="1"/>
  <c r="U67" i="1"/>
  <c r="T67" i="1"/>
  <c r="S67" i="1"/>
  <c r="R67" i="1"/>
  <c r="Q67" i="1"/>
  <c r="P67" i="1"/>
  <c r="O67" i="1"/>
  <c r="N67" i="1"/>
  <c r="V66" i="1"/>
  <c r="U66" i="1"/>
  <c r="T66" i="1"/>
  <c r="S66" i="1"/>
  <c r="R66" i="1"/>
  <c r="Q66" i="1"/>
  <c r="P66" i="1"/>
  <c r="O66" i="1"/>
  <c r="N66" i="1"/>
  <c r="Q65" i="1"/>
  <c r="P65" i="1"/>
  <c r="O65" i="1"/>
  <c r="N65" i="1"/>
  <c r="L111" i="1"/>
  <c r="U65" i="1"/>
  <c r="H119" i="1"/>
  <c r="Q51" i="1"/>
  <c r="P51" i="1"/>
  <c r="O51" i="1"/>
  <c r="N51" i="1"/>
  <c r="P44" i="1"/>
  <c r="G44" i="1"/>
  <c r="Q44" i="1" s="1"/>
  <c r="F44" i="1"/>
  <c r="E44" i="1"/>
  <c r="O44" i="1" s="1"/>
  <c r="D44" i="1"/>
  <c r="N44" i="1" s="1"/>
  <c r="C44" i="1"/>
  <c r="Q34" i="1"/>
  <c r="P34" i="1"/>
  <c r="O34" i="1"/>
  <c r="N34" i="1"/>
  <c r="L44" i="1"/>
  <c r="U34" i="1"/>
  <c r="J44" i="1"/>
  <c r="I44" i="1"/>
  <c r="R34" i="1"/>
  <c r="P28" i="1"/>
  <c r="G28" i="1"/>
  <c r="Q28" i="1" s="1"/>
  <c r="F28" i="1"/>
  <c r="F115" i="1" s="1"/>
  <c r="E28" i="1"/>
  <c r="E115" i="1" s="1"/>
  <c r="D28" i="1"/>
  <c r="D115" i="1" s="1"/>
  <c r="C28" i="1"/>
  <c r="C115" i="1" s="1"/>
  <c r="Q26" i="1"/>
  <c r="P26" i="1"/>
  <c r="O26" i="1"/>
  <c r="N26" i="1"/>
  <c r="V26" i="1"/>
  <c r="U26" i="1"/>
  <c r="R26" i="1"/>
  <c r="Q23" i="1"/>
  <c r="P23" i="1"/>
  <c r="O23" i="1"/>
  <c r="N23" i="1"/>
  <c r="U23" i="1"/>
  <c r="T23" i="1"/>
  <c r="S23" i="1"/>
  <c r="R23" i="1"/>
  <c r="Q22" i="1"/>
  <c r="P22" i="1"/>
  <c r="O22" i="1"/>
  <c r="N22" i="1"/>
  <c r="V22" i="1"/>
  <c r="S22" i="1"/>
  <c r="R22" i="1"/>
  <c r="Q21" i="1"/>
  <c r="P21" i="1"/>
  <c r="O21" i="1"/>
  <c r="N21" i="1"/>
  <c r="V21" i="1"/>
  <c r="U21" i="1"/>
  <c r="I110" i="1"/>
  <c r="Q20" i="1"/>
  <c r="P20" i="1"/>
  <c r="O20" i="1"/>
  <c r="N20" i="1"/>
  <c r="L107" i="1"/>
  <c r="U20" i="1"/>
  <c r="H109" i="1"/>
  <c r="F17" i="1"/>
  <c r="F31" i="1" s="1"/>
  <c r="E17" i="1"/>
  <c r="E31" i="1" s="1"/>
  <c r="D17" i="1"/>
  <c r="D31" i="1" s="1"/>
  <c r="C17" i="1"/>
  <c r="C31" i="1" s="1"/>
  <c r="C49" i="1" s="1"/>
  <c r="C53" i="1" s="1"/>
  <c r="P16" i="1"/>
  <c r="O16" i="1"/>
  <c r="N16" i="1"/>
  <c r="V16" i="1"/>
  <c r="S16" i="1"/>
  <c r="G16" i="1"/>
  <c r="Q13" i="1"/>
  <c r="P13" i="1"/>
  <c r="O13" i="1"/>
  <c r="N13" i="1"/>
  <c r="K17" i="1"/>
  <c r="T13" i="1"/>
  <c r="G13" i="1"/>
  <c r="G17" i="1" s="1"/>
  <c r="V11" i="1"/>
  <c r="U11" i="1"/>
  <c r="T11" i="1"/>
  <c r="S11" i="1"/>
  <c r="R11" i="1"/>
  <c r="Q11" i="1"/>
  <c r="P11" i="1"/>
  <c r="O11" i="1"/>
  <c r="N11" i="1"/>
  <c r="V10" i="1"/>
  <c r="U10" i="1"/>
  <c r="T10" i="1"/>
  <c r="S10" i="1"/>
  <c r="R10" i="1"/>
  <c r="Q10" i="1"/>
  <c r="P10" i="1"/>
  <c r="O10" i="1"/>
  <c r="N10" i="1"/>
  <c r="V13" i="1" l="1"/>
  <c r="U72" i="1"/>
  <c r="S78" i="1"/>
  <c r="T85" i="1"/>
  <c r="S89" i="1"/>
  <c r="V44" i="1"/>
  <c r="U16" i="1"/>
  <c r="K110" i="1"/>
  <c r="U22" i="1"/>
  <c r="K28" i="1"/>
  <c r="K115" i="1" s="1"/>
  <c r="I118" i="1"/>
  <c r="R65" i="1"/>
  <c r="L92" i="1"/>
  <c r="S73" i="1"/>
  <c r="T78" i="1"/>
  <c r="U80" i="1"/>
  <c r="U82" i="1"/>
  <c r="U85" i="1"/>
  <c r="T89" i="1"/>
  <c r="C120" i="1"/>
  <c r="K44" i="1"/>
  <c r="J118" i="1"/>
  <c r="V65" i="1"/>
  <c r="H108" i="1"/>
  <c r="T83" i="1"/>
  <c r="I108" i="1"/>
  <c r="S26" i="1"/>
  <c r="S34" i="1"/>
  <c r="V73" i="1"/>
  <c r="J108" i="1"/>
  <c r="U83" i="1"/>
  <c r="S88" i="1"/>
  <c r="I119" i="1"/>
  <c r="L17" i="1"/>
  <c r="H17" i="1"/>
  <c r="I17" i="1"/>
  <c r="S17" i="1" s="1"/>
  <c r="R16" i="1"/>
  <c r="I28" i="1"/>
  <c r="I96" i="1" s="1"/>
  <c r="S20" i="1"/>
  <c r="V23" i="1"/>
  <c r="T26" i="1"/>
  <c r="T44" i="1"/>
  <c r="U76" i="1"/>
  <c r="K106" i="1"/>
  <c r="T16" i="1"/>
  <c r="J28" i="1"/>
  <c r="J96" i="1" s="1"/>
  <c r="S21" i="1"/>
  <c r="V76" i="1"/>
  <c r="L106" i="1"/>
  <c r="U88" i="1"/>
  <c r="K118" i="1"/>
  <c r="K31" i="1"/>
  <c r="K114" i="1"/>
  <c r="K116" i="1" s="1"/>
  <c r="D49" i="1"/>
  <c r="N31" i="1"/>
  <c r="I114" i="1"/>
  <c r="T28" i="1"/>
  <c r="J115" i="1"/>
  <c r="O31" i="1"/>
  <c r="E49" i="1"/>
  <c r="P31" i="1"/>
  <c r="F49" i="1"/>
  <c r="U44" i="1"/>
  <c r="G31" i="1"/>
  <c r="G114" i="1"/>
  <c r="G116" i="1" s="1"/>
  <c r="Q17" i="1"/>
  <c r="G122" i="1"/>
  <c r="H114" i="1"/>
  <c r="R17" i="1"/>
  <c r="E92" i="1"/>
  <c r="O92" i="1" s="1"/>
  <c r="C96" i="1"/>
  <c r="K96" i="1"/>
  <c r="K108" i="1"/>
  <c r="Q16" i="1"/>
  <c r="N17" i="1"/>
  <c r="V17" i="1"/>
  <c r="R21" i="1"/>
  <c r="T22" i="1"/>
  <c r="L28" i="1"/>
  <c r="U28" i="1"/>
  <c r="T34" i="1"/>
  <c r="H44" i="1"/>
  <c r="R44" i="1" s="1"/>
  <c r="S74" i="1"/>
  <c r="R76" i="1"/>
  <c r="T80" i="1"/>
  <c r="S83" i="1"/>
  <c r="U84" i="1"/>
  <c r="O90" i="1"/>
  <c r="D96" i="1"/>
  <c r="H106" i="1"/>
  <c r="L108" i="1"/>
  <c r="J109" i="1"/>
  <c r="H110" i="1"/>
  <c r="L112" i="1"/>
  <c r="L118" i="1"/>
  <c r="J119" i="1"/>
  <c r="J120" i="1" s="1"/>
  <c r="O17" i="1"/>
  <c r="N28" i="1"/>
  <c r="G92" i="1"/>
  <c r="E96" i="1"/>
  <c r="I106" i="1"/>
  <c r="K109" i="1"/>
  <c r="C114" i="1"/>
  <c r="C116" i="1" s="1"/>
  <c r="K119" i="1"/>
  <c r="K120" i="1" s="1"/>
  <c r="R13" i="1"/>
  <c r="P17" i="1"/>
  <c r="R20" i="1"/>
  <c r="T21" i="1"/>
  <c r="O28" i="1"/>
  <c r="V34" i="1"/>
  <c r="T76" i="1"/>
  <c r="I92" i="1"/>
  <c r="S92" i="1" s="1"/>
  <c r="F96" i="1"/>
  <c r="J106" i="1"/>
  <c r="H107" i="1"/>
  <c r="L109" i="1"/>
  <c r="J110" i="1"/>
  <c r="H111" i="1"/>
  <c r="D114" i="1"/>
  <c r="D116" i="1" s="1"/>
  <c r="D122" i="1" s="1"/>
  <c r="L114" i="1"/>
  <c r="L119" i="1"/>
  <c r="J92" i="1"/>
  <c r="G96" i="1"/>
  <c r="I107" i="1"/>
  <c r="I111" i="1"/>
  <c r="E114" i="1"/>
  <c r="E116" i="1" s="1"/>
  <c r="E122" i="1" s="1"/>
  <c r="H28" i="1"/>
  <c r="S65" i="1"/>
  <c r="K92" i="1"/>
  <c r="V92" i="1" s="1"/>
  <c r="J107" i="1"/>
  <c r="L110" i="1"/>
  <c r="J111" i="1"/>
  <c r="H112" i="1"/>
  <c r="F114" i="1"/>
  <c r="F116" i="1" s="1"/>
  <c r="F122" i="1" s="1"/>
  <c r="H118" i="1"/>
  <c r="H120" i="1" s="1"/>
  <c r="S13" i="1"/>
  <c r="U13" i="1"/>
  <c r="J17" i="1"/>
  <c r="U17" i="1" s="1"/>
  <c r="T65" i="1"/>
  <c r="K107" i="1"/>
  <c r="K111" i="1"/>
  <c r="I112" i="1"/>
  <c r="T20" i="1"/>
  <c r="V20" i="1"/>
  <c r="J112" i="1"/>
  <c r="K122" i="1" l="1"/>
  <c r="C122" i="1"/>
  <c r="I115" i="1"/>
  <c r="I116" i="1"/>
  <c r="I31" i="1"/>
  <c r="S31" i="1" s="1"/>
  <c r="I120" i="1"/>
  <c r="I122" i="1" s="1"/>
  <c r="F53" i="1"/>
  <c r="P53" i="1" s="1"/>
  <c r="P49" i="1"/>
  <c r="R28" i="1"/>
  <c r="H96" i="1"/>
  <c r="H115" i="1"/>
  <c r="L120" i="1"/>
  <c r="L115" i="1"/>
  <c r="L116" i="1" s="1"/>
  <c r="V28" i="1"/>
  <c r="L96" i="1"/>
  <c r="D53" i="1"/>
  <c r="N53" i="1" s="1"/>
  <c r="N49" i="1"/>
  <c r="S44" i="1"/>
  <c r="L31" i="1"/>
  <c r="K49" i="1"/>
  <c r="U31" i="1"/>
  <c r="H31" i="1"/>
  <c r="E53" i="1"/>
  <c r="O49" i="1"/>
  <c r="P92" i="1"/>
  <c r="R92" i="1"/>
  <c r="Q92" i="1"/>
  <c r="T92" i="1"/>
  <c r="H116" i="1"/>
  <c r="H122" i="1" s="1"/>
  <c r="Q31" i="1"/>
  <c r="G49" i="1"/>
  <c r="I49" i="1"/>
  <c r="T17" i="1"/>
  <c r="J31" i="1"/>
  <c r="J114" i="1"/>
  <c r="J116" i="1" s="1"/>
  <c r="J122" i="1" s="1"/>
  <c r="U92" i="1"/>
  <c r="S28" i="1"/>
  <c r="J49" i="1" l="1"/>
  <c r="U49" i="1" s="1"/>
  <c r="T31" i="1"/>
  <c r="S49" i="1"/>
  <c r="G53" i="1"/>
  <c r="Q49" i="1"/>
  <c r="O53" i="1"/>
  <c r="V31" i="1"/>
  <c r="L49" i="1"/>
  <c r="H49" i="1"/>
  <c r="R31" i="1"/>
  <c r="L122" i="1"/>
  <c r="Q53" i="1" l="1"/>
  <c r="H51" i="1"/>
  <c r="R51" i="1" s="1"/>
  <c r="R49" i="1"/>
  <c r="V49" i="1"/>
  <c r="T49" i="1"/>
  <c r="H53" i="1" l="1"/>
  <c r="R53" i="1" l="1"/>
  <c r="I51" i="1"/>
  <c r="S51" i="1" l="1"/>
  <c r="I53" i="1"/>
  <c r="S53" i="1" l="1"/>
  <c r="J51" i="1"/>
  <c r="T51" i="1" l="1"/>
  <c r="J53" i="1"/>
  <c r="K51" i="1" l="1"/>
  <c r="T53" i="1"/>
  <c r="U51" i="1" l="1"/>
  <c r="K53" i="1"/>
  <c r="L51" i="1" l="1"/>
  <c r="U53" i="1"/>
  <c r="V51" i="1" l="1"/>
  <c r="L53" i="1"/>
  <c r="V53" i="1" s="1"/>
</calcChain>
</file>

<file path=xl/sharedStrings.xml><?xml version="1.0" encoding="utf-8"?>
<sst xmlns="http://schemas.openxmlformats.org/spreadsheetml/2006/main" count="186" uniqueCount="170">
  <si>
    <t>FY24 - May 2024 Update</t>
  </si>
  <si>
    <t>IRN No.: 133215</t>
  </si>
  <si>
    <t>Type of School: Brick and Mortar</t>
  </si>
  <si>
    <t>Contract Term: 06-30-2024</t>
  </si>
  <si>
    <t>THE INTERGENERATIONAL SCHOOL</t>
  </si>
  <si>
    <t>Statement of Receipt, Disbursements, and Changes in Fund Cash Balances</t>
  </si>
  <si>
    <t>For the Fiscal Years Ended 2020 through 2023, Actual and</t>
  </si>
  <si>
    <t>the Fiscal Years Ending 2024 through 2028, Forecasted</t>
  </si>
  <si>
    <t>Actual</t>
  </si>
  <si>
    <t>Forecast</t>
  </si>
  <si>
    <t>Fiscal Year</t>
  </si>
  <si>
    <t>FY19</t>
  </si>
  <si>
    <t>FY20</t>
  </si>
  <si>
    <t>FY21</t>
  </si>
  <si>
    <t>FY22</t>
  </si>
  <si>
    <t>FY23</t>
  </si>
  <si>
    <t>FY24</t>
  </si>
  <si>
    <t>FY25</t>
  </si>
  <si>
    <t>FY26</t>
  </si>
  <si>
    <t>FY27</t>
  </si>
  <si>
    <t>FY28</t>
  </si>
  <si>
    <t>Operating Receipts</t>
  </si>
  <si>
    <t>State Foundation Payments (3110, 3211)</t>
  </si>
  <si>
    <t>Charges for Services (1500)</t>
  </si>
  <si>
    <t>Fees (1600, 1700)</t>
  </si>
  <si>
    <t>Other (1830, 1840, 1850, 1860, 1870, 1890, 3190)</t>
  </si>
  <si>
    <t>Total Operating Receipts</t>
  </si>
  <si>
    <t>Operating Disbursements</t>
  </si>
  <si>
    <t>100 Salaries and Wages</t>
  </si>
  <si>
    <t>200 Employee Retirement and Insurance Benefits</t>
  </si>
  <si>
    <t>400 Purchased Services</t>
  </si>
  <si>
    <t>500 Supplies and Materials</t>
  </si>
  <si>
    <t>600 Capital Outlay -New</t>
  </si>
  <si>
    <t>700 Capital Outlay - Replacement</t>
  </si>
  <si>
    <t>800 Other</t>
  </si>
  <si>
    <t>819 Other Debt</t>
  </si>
  <si>
    <t>Total Operating Disbursements</t>
  </si>
  <si>
    <t>Excess of Operating Receipts Over (Under)</t>
  </si>
  <si>
    <t>Nonoperating Receipts/(Disbursements)</t>
  </si>
  <si>
    <t>Federal Grants (all 4000 except fund 532)</t>
  </si>
  <si>
    <t>State Grants (3200, except 3211)</t>
  </si>
  <si>
    <t>Restricted Grants (3219, Community School Facilities Grant)</t>
  </si>
  <si>
    <t>Donations (1820)</t>
  </si>
  <si>
    <t>Interest Income (1400)</t>
  </si>
  <si>
    <t>Debt Proceeds (1900)</t>
  </si>
  <si>
    <t>Debt Principal Retirement</t>
  </si>
  <si>
    <t>Interest and Fiscal Charges</t>
  </si>
  <si>
    <t>Transfers - In</t>
  </si>
  <si>
    <t>Transfers - Out</t>
  </si>
  <si>
    <t>Total Nonoperating Revenues/(Expenses)</t>
  </si>
  <si>
    <t>Excess of Operating and Nonoperating Receipts</t>
  </si>
  <si>
    <t>Over/(Under) Operating and Nonoperating</t>
  </si>
  <si>
    <t>Disbursements</t>
  </si>
  <si>
    <t>Fund Cash Balance Beginning of Fiscal Year</t>
  </si>
  <si>
    <t>Fund Cash Balance End of Fiscal Year</t>
  </si>
  <si>
    <t>Disclosure Items for State Fiscal Stabilization Funds</t>
  </si>
  <si>
    <t>Personal Services SFSF</t>
  </si>
  <si>
    <t>Employees Retirement/Insurance Benefits SFSF</t>
  </si>
  <si>
    <t>Purchased Services SFSF</t>
  </si>
  <si>
    <t>Supplies and Materials SFSF</t>
  </si>
  <si>
    <t>Capital Outlay SFSF</t>
  </si>
  <si>
    <t>Total Expenditures - SDFSF</t>
  </si>
  <si>
    <t>Staffing/Enrollment</t>
  </si>
  <si>
    <t>Total Student FTE</t>
  </si>
  <si>
    <t>Instructional Staff</t>
  </si>
  <si>
    <t>Administrative Staff</t>
  </si>
  <si>
    <t>Other Staff</t>
  </si>
  <si>
    <t>Purchased Services</t>
  </si>
  <si>
    <t>Rent</t>
  </si>
  <si>
    <t>Utilities</t>
  </si>
  <si>
    <t>Other Facility Costs</t>
  </si>
  <si>
    <t>Insurance</t>
  </si>
  <si>
    <t>Insurance (USAS code of 851 - incl in Other)</t>
  </si>
  <si>
    <t>Management Fee</t>
  </si>
  <si>
    <t>Sponsor Fee</t>
  </si>
  <si>
    <t>Audit Fees</t>
  </si>
  <si>
    <t>Audit Fees (USAS code of 843 - incl in Other)</t>
  </si>
  <si>
    <t>Contingency</t>
  </si>
  <si>
    <t>Transportation</t>
  </si>
  <si>
    <t>Legal</t>
  </si>
  <si>
    <t>Marketing</t>
  </si>
  <si>
    <t>Consulting</t>
  </si>
  <si>
    <t>Salaries and Wages</t>
  </si>
  <si>
    <t>Employee Benefits</t>
  </si>
  <si>
    <t>Special Education Services</t>
  </si>
  <si>
    <t>Technology Services</t>
  </si>
  <si>
    <t>Food Services</t>
  </si>
  <si>
    <t>Other</t>
  </si>
  <si>
    <t>Total Purchased Services</t>
  </si>
  <si>
    <t>Financial Metrics</t>
  </si>
  <si>
    <t>Expenditures per FTE</t>
  </si>
  <si>
    <t>Debt Service Payments</t>
  </si>
  <si>
    <t>Debt Service Coverage</t>
  </si>
  <si>
    <t>Growth in Enrollment</t>
  </si>
  <si>
    <t>Growth in New Capital Outlay</t>
  </si>
  <si>
    <t>Growth in Operating Receipts</t>
  </si>
  <si>
    <t>Growth in Non-Operating Receipts/Expenses</t>
  </si>
  <si>
    <t>Days of Cash</t>
  </si>
  <si>
    <t>Additional Metrics</t>
  </si>
  <si>
    <t>Management Fee per Pupil</t>
  </si>
  <si>
    <t>Salary and Wages per Pupil</t>
  </si>
  <si>
    <t>Salary, Wages, and Management Fee per Pupil</t>
  </si>
  <si>
    <t>Avg Staff Salary</t>
  </si>
  <si>
    <t>Benefits per Pupil</t>
  </si>
  <si>
    <t>Number of Students per Instruction Staff</t>
  </si>
  <si>
    <t>Number of Students per Total Staff</t>
  </si>
  <si>
    <t>Receipts per Pupil</t>
  </si>
  <si>
    <t>Disbursements per Pupil</t>
  </si>
  <si>
    <t>Operating Surplus/Deficit per Pupil</t>
  </si>
  <si>
    <t>Nonoperating Receipts per Pupil</t>
  </si>
  <si>
    <t>Nonoperating Disbursements per Pupil</t>
  </si>
  <si>
    <t>Nonoperating Surplus/Deficit per Pupil</t>
  </si>
  <si>
    <t>Total Surplus/Deficit per Pupil</t>
  </si>
  <si>
    <t>Assumptions Narrative Summary</t>
  </si>
  <si>
    <t>Fiscal Year 2024-2028 Projected Debt</t>
  </si>
  <si>
    <t>Description</t>
  </si>
  <si>
    <t>Beginning
Year Balance</t>
  </si>
  <si>
    <t>Principle Retirement</t>
  </si>
  <si>
    <t>Interest Expense</t>
  </si>
  <si>
    <t>Ending
Year Balance</t>
  </si>
  <si>
    <t>Debitor/
Creditor</t>
  </si>
  <si>
    <t>FTE Review</t>
  </si>
  <si>
    <t>Loan A</t>
  </si>
  <si>
    <t>Loan B</t>
  </si>
  <si>
    <t>Line of Credit</t>
  </si>
  <si>
    <t>Notes, Bonds</t>
  </si>
  <si>
    <t>Capital Leases</t>
  </si>
  <si>
    <t>Payables (Past Due 180+ days)</t>
  </si>
  <si>
    <t>Total</t>
  </si>
  <si>
    <t>Miscellaneous Notes:</t>
  </si>
  <si>
    <t xml:space="preserve">The School does not use a management company. </t>
  </si>
  <si>
    <t>The School Sponsor is the Educational Services Center of Lake Erie West. The contracted base fee is 2.5% of State Foundation revenues.</t>
  </si>
  <si>
    <t>The School received a loan to purchase its building through Erie Bank. The loan terms are $1,000,000 principal, 4.27% interest rate, 20-yr amortization.</t>
  </si>
  <si>
    <t>Treasurer: Celeste Farmer - Primary Phone: 330-573-4566</t>
  </si>
  <si>
    <t>Expenditure/Expenses/Enrollment</t>
  </si>
  <si>
    <t>Inc / Dec</t>
  </si>
  <si>
    <t>Justification</t>
  </si>
  <si>
    <t>FY24 Enrollment</t>
  </si>
  <si>
    <t>Enrollment based on current and projected student counts</t>
  </si>
  <si>
    <t>State Foundation Payment / FTE</t>
  </si>
  <si>
    <t>Based on the most recent available State Foundation Report</t>
  </si>
  <si>
    <t>Forecasted Average Enrollment Growth</t>
  </si>
  <si>
    <t>The School will maintain its current class offerings through the timeframe at a maximum of 250 FTE</t>
  </si>
  <si>
    <t>Forecasted Expense Inflation</t>
  </si>
  <si>
    <t>The forecast uses 2% as an estimate for inflation</t>
  </si>
  <si>
    <t>Forecast Salaries &amp; Wages</t>
  </si>
  <si>
    <t>Staff and compensation planning results in an average 1% annual increase in wages</t>
  </si>
  <si>
    <t>FY24 Rent</t>
  </si>
  <si>
    <t>The School owns its building</t>
  </si>
  <si>
    <t>FY24 Utilities</t>
  </si>
  <si>
    <t>Utilities based on  prior year and estimated expenses</t>
  </si>
  <si>
    <t>Other Facilitiy Costs</t>
  </si>
  <si>
    <t>Other Facilties Costs based on  prior year and estimated expenses</t>
  </si>
  <si>
    <t>Insurance based on current coverage and estimated expenses</t>
  </si>
  <si>
    <t>No Management company</t>
  </si>
  <si>
    <t>Base rate based on current contract agreement</t>
  </si>
  <si>
    <t>Audit Fee</t>
  </si>
  <si>
    <t>Audit based on FY23 expenses paid</t>
  </si>
  <si>
    <t>FY24 Food Service</t>
  </si>
  <si>
    <t>Food services expenses based on FY23 expenses paid and estimated expenses</t>
  </si>
  <si>
    <t>FY24 Transportation</t>
  </si>
  <si>
    <t>Includes Field Trip Transportation</t>
  </si>
  <si>
    <t>FY24 Legal</t>
  </si>
  <si>
    <t>Legal expenses based on FY23 expenses paid and estimated expenses</t>
  </si>
  <si>
    <t>FY24 Marketing</t>
  </si>
  <si>
    <t>Paid and estimated expenses for community outreach and recruitment efforts</t>
  </si>
  <si>
    <t>FY24 Consulting</t>
  </si>
  <si>
    <t xml:space="preserve">Includes vendors for services including but not limited to School Improvement, Substitute Teacher Services, Professional </t>
  </si>
  <si>
    <t>Development, Treasurer and Accounting services. Consulting expenses based on FY23 expenses paid and estimated</t>
  </si>
  <si>
    <t>Erie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</si>
</sst>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14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0"/>
      <name val="Arial"/>
      <family val="2"/>
    </font>
    <font>
      <b/>
      <u/>
      <sz val="10"/>
      <color theme="1"/>
      <name val="Arial"/>
      <family val="2"/>
    </font>
    <font>
      <sz val="9"/>
      <color theme="1"/>
      <name val="Arial"/>
      <family val="2"/>
    </font>
    <font>
      <b/>
      <u/>
      <sz val="9"/>
      <color theme="1"/>
      <name val="Arial"/>
      <family val="2"/>
    </font>
    <font>
      <i/>
      <sz val="8"/>
      <color rgb="FFFF0000"/>
      <name val="Arial"/>
      <family val="2"/>
    </font>
    <font>
      <b/>
      <u/>
      <sz val="9"/>
      <name val="Arial"/>
      <family val="2"/>
    </font>
    <font>
      <b/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rgb="FFDDD9C3"/>
        <bgColor rgb="FFDDD9C3"/>
      </patternFill>
    </fill>
  </fills>
  <borders count="9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0" fontId="1" fillId="0" borderId="0"/>
  </cellStyleXfs>
  <cellXfs count="217">
    <xf numFmtId="0" fontId="0" fillId="0" borderId="0" xfId="0"/>
    <xf numFmtId="0" fontId="2" fillId="0" borderId="1" xfId="2" applyFont="1" applyBorder="1" applyAlignment="1" applyProtection="1">
      <alignment vertical="center"/>
      <protection locked="0"/>
    </xf>
    <xf numFmtId="0" fontId="3" fillId="0" borderId="0" xfId="2" applyFont="1" applyAlignment="1">
      <alignment vertical="center"/>
    </xf>
    <xf numFmtId="0" fontId="2" fillId="0" borderId="2" xfId="2" applyFont="1" applyBorder="1" applyAlignment="1" applyProtection="1">
      <alignment vertical="center"/>
      <protection locked="0"/>
    </xf>
    <xf numFmtId="0" fontId="2" fillId="0" borderId="0" xfId="2" applyFont="1" applyAlignment="1" applyProtection="1">
      <alignment vertical="center"/>
      <protection locked="0"/>
    </xf>
    <xf numFmtId="0" fontId="4" fillId="0" borderId="0" xfId="2" applyFont="1"/>
    <xf numFmtId="0" fontId="1" fillId="0" borderId="0" xfId="2"/>
    <xf numFmtId="0" fontId="2" fillId="0" borderId="3" xfId="2" applyFont="1" applyBorder="1" applyAlignment="1" applyProtection="1">
      <alignment vertical="center"/>
      <protection locked="0"/>
    </xf>
    <xf numFmtId="164" fontId="4" fillId="0" borderId="0" xfId="2" applyNumberFormat="1" applyFont="1"/>
    <xf numFmtId="43" fontId="4" fillId="0" borderId="0" xfId="2" applyNumberFormat="1" applyFont="1"/>
    <xf numFmtId="0" fontId="2" fillId="0" borderId="3" xfId="2" applyFont="1" applyBorder="1" applyAlignment="1">
      <alignment vertical="center"/>
    </xf>
    <xf numFmtId="0" fontId="2" fillId="0" borderId="0" xfId="2" applyFont="1" applyAlignment="1">
      <alignment vertical="center"/>
    </xf>
    <xf numFmtId="0" fontId="1" fillId="0" borderId="3" xfId="2" applyBorder="1" applyProtection="1">
      <protection locked="0"/>
    </xf>
    <xf numFmtId="0" fontId="0" fillId="0" borderId="0" xfId="2" applyFont="1"/>
    <xf numFmtId="0" fontId="7" fillId="0" borderId="3" xfId="2" applyFont="1" applyBorder="1"/>
    <xf numFmtId="0" fontId="8" fillId="0" borderId="0" xfId="2" applyFont="1"/>
    <xf numFmtId="0" fontId="7" fillId="0" borderId="0" xfId="2" applyFont="1"/>
    <xf numFmtId="0" fontId="4" fillId="0" borderId="3" xfId="2" applyFont="1" applyBorder="1"/>
    <xf numFmtId="0" fontId="9" fillId="0" borderId="0" xfId="2" applyFont="1"/>
    <xf numFmtId="0" fontId="9" fillId="2" borderId="3" xfId="2" applyFont="1" applyFill="1" applyBorder="1" applyAlignment="1">
      <alignment horizontal="center"/>
    </xf>
    <xf numFmtId="0" fontId="9" fillId="2" borderId="15" xfId="2" applyFont="1" applyFill="1" applyBorder="1" applyAlignment="1">
      <alignment horizontal="center"/>
    </xf>
    <xf numFmtId="0" fontId="9" fillId="2" borderId="16" xfId="2" applyFont="1" applyFill="1" applyBorder="1" applyAlignment="1">
      <alignment horizontal="center"/>
    </xf>
    <xf numFmtId="0" fontId="9" fillId="2" borderId="17" xfId="2" applyFont="1" applyFill="1" applyBorder="1" applyAlignment="1">
      <alignment horizontal="center"/>
    </xf>
    <xf numFmtId="0" fontId="9" fillId="2" borderId="18" xfId="2" applyFont="1" applyFill="1" applyBorder="1" applyAlignment="1">
      <alignment horizontal="center"/>
    </xf>
    <xf numFmtId="0" fontId="9" fillId="2" borderId="19" xfId="2" applyFont="1" applyFill="1" applyBorder="1" applyAlignment="1">
      <alignment horizontal="center"/>
    </xf>
    <xf numFmtId="0" fontId="9" fillId="2" borderId="20" xfId="2" applyFont="1" applyFill="1" applyBorder="1" applyAlignment="1">
      <alignment horizontal="center"/>
    </xf>
    <xf numFmtId="0" fontId="9" fillId="2" borderId="21" xfId="2" applyFont="1" applyFill="1" applyBorder="1" applyAlignment="1">
      <alignment horizontal="center"/>
    </xf>
    <xf numFmtId="0" fontId="10" fillId="0" borderId="22" xfId="2" applyFont="1" applyBorder="1"/>
    <xf numFmtId="0" fontId="10" fillId="0" borderId="0" xfId="2" applyFont="1"/>
    <xf numFmtId="44" fontId="9" fillId="0" borderId="0" xfId="2" applyNumberFormat="1" applyFont="1" applyAlignment="1">
      <alignment horizontal="right"/>
    </xf>
    <xf numFmtId="0" fontId="9" fillId="0" borderId="22" xfId="2" applyFont="1" applyBorder="1"/>
    <xf numFmtId="164" fontId="9" fillId="0" borderId="23" xfId="1" applyNumberFormat="1" applyFont="1" applyFill="1" applyBorder="1" applyAlignment="1">
      <alignment horizontal="right" vertical="top"/>
    </xf>
    <xf numFmtId="164" fontId="9" fillId="0" borderId="24" xfId="1" applyNumberFormat="1" applyFont="1" applyFill="1" applyBorder="1" applyAlignment="1">
      <alignment horizontal="right" vertical="top"/>
    </xf>
    <xf numFmtId="164" fontId="9" fillId="0" borderId="25" xfId="1" applyNumberFormat="1" applyFont="1" applyFill="1" applyBorder="1" applyAlignment="1">
      <alignment horizontal="right" vertical="top"/>
    </xf>
    <xf numFmtId="164" fontId="9" fillId="0" borderId="23" xfId="1" applyNumberFormat="1" applyFont="1" applyBorder="1" applyAlignment="1">
      <alignment horizontal="right" vertical="top"/>
    </xf>
    <xf numFmtId="164" fontId="9" fillId="0" borderId="26" xfId="1" applyNumberFormat="1" applyFont="1" applyBorder="1" applyAlignment="1">
      <alignment horizontal="right" vertical="top"/>
    </xf>
    <xf numFmtId="164" fontId="9" fillId="0" borderId="25" xfId="1" applyNumberFormat="1" applyFont="1" applyBorder="1" applyAlignment="1">
      <alignment horizontal="right" vertical="top"/>
    </xf>
    <xf numFmtId="9" fontId="4" fillId="0" borderId="27" xfId="3" applyFont="1" applyBorder="1"/>
    <xf numFmtId="9" fontId="4" fillId="0" borderId="28" xfId="3" applyFont="1" applyBorder="1"/>
    <xf numFmtId="9" fontId="4" fillId="0" borderId="29" xfId="3" applyFont="1" applyBorder="1"/>
    <xf numFmtId="164" fontId="9" fillId="0" borderId="30" xfId="1" applyNumberFormat="1" applyFont="1" applyFill="1" applyBorder="1" applyAlignment="1">
      <alignment horizontal="right" vertical="top"/>
    </xf>
    <xf numFmtId="164" fontId="9" fillId="0" borderId="31" xfId="1" applyNumberFormat="1" applyFont="1" applyFill="1" applyBorder="1" applyAlignment="1">
      <alignment horizontal="right" vertical="top"/>
    </xf>
    <xf numFmtId="164" fontId="9" fillId="0" borderId="32" xfId="1" applyNumberFormat="1" applyFont="1" applyFill="1" applyBorder="1" applyAlignment="1">
      <alignment horizontal="right" vertical="top"/>
    </xf>
    <xf numFmtId="164" fontId="9" fillId="0" borderId="30" xfId="1" applyNumberFormat="1" applyFont="1" applyBorder="1" applyAlignment="1">
      <alignment horizontal="right" vertical="top"/>
    </xf>
    <xf numFmtId="164" fontId="9" fillId="0" borderId="33" xfId="1" applyNumberFormat="1" applyFont="1" applyBorder="1" applyAlignment="1">
      <alignment horizontal="right" vertical="top"/>
    </xf>
    <xf numFmtId="164" fontId="9" fillId="0" borderId="32" xfId="1" applyNumberFormat="1" applyFont="1" applyBorder="1" applyAlignment="1">
      <alignment horizontal="right" vertical="top"/>
    </xf>
    <xf numFmtId="9" fontId="4" fillId="0" borderId="34" xfId="3" applyFont="1" applyBorder="1"/>
    <xf numFmtId="9" fontId="4" fillId="0" borderId="35" xfId="3" applyFont="1" applyBorder="1"/>
    <xf numFmtId="9" fontId="4" fillId="0" borderId="36" xfId="3" applyFont="1" applyBorder="1"/>
    <xf numFmtId="0" fontId="3" fillId="5" borderId="22" xfId="2" applyFont="1" applyFill="1" applyBorder="1"/>
    <xf numFmtId="0" fontId="3" fillId="0" borderId="0" xfId="2" applyFont="1"/>
    <xf numFmtId="164" fontId="9" fillId="5" borderId="30" xfId="1" applyNumberFormat="1" applyFont="1" applyFill="1" applyBorder="1" applyAlignment="1">
      <alignment horizontal="right" vertical="top"/>
    </xf>
    <xf numFmtId="164" fontId="9" fillId="5" borderId="33" xfId="1" applyNumberFormat="1" applyFont="1" applyFill="1" applyBorder="1" applyAlignment="1">
      <alignment horizontal="right" vertical="top"/>
    </xf>
    <xf numFmtId="164" fontId="9" fillId="5" borderId="32" xfId="1" applyNumberFormat="1" applyFont="1" applyFill="1" applyBorder="1" applyAlignment="1">
      <alignment horizontal="right" vertical="top"/>
    </xf>
    <xf numFmtId="9" fontId="4" fillId="5" borderId="34" xfId="3" applyFont="1" applyFill="1" applyBorder="1"/>
    <xf numFmtId="9" fontId="4" fillId="5" borderId="35" xfId="3" applyFont="1" applyFill="1" applyBorder="1"/>
    <xf numFmtId="9" fontId="4" fillId="5" borderId="36" xfId="3" applyFont="1" applyFill="1" applyBorder="1"/>
    <xf numFmtId="0" fontId="3" fillId="0" borderId="22" xfId="2" applyFont="1" applyBorder="1"/>
    <xf numFmtId="164" fontId="9" fillId="0" borderId="33" xfId="1" applyNumberFormat="1" applyFont="1" applyFill="1" applyBorder="1" applyAlignment="1">
      <alignment horizontal="right" vertical="top"/>
    </xf>
    <xf numFmtId="9" fontId="9" fillId="0" borderId="33" xfId="3" applyFont="1" applyFill="1" applyBorder="1" applyAlignment="1">
      <alignment horizontal="right" vertical="top"/>
    </xf>
    <xf numFmtId="0" fontId="3" fillId="6" borderId="0" xfId="2" applyFont="1" applyFill="1"/>
    <xf numFmtId="164" fontId="9" fillId="6" borderId="30" xfId="1" applyNumberFormat="1" applyFont="1" applyFill="1" applyBorder="1" applyAlignment="1">
      <alignment horizontal="right" vertical="top"/>
    </xf>
    <xf numFmtId="164" fontId="9" fillId="6" borderId="33" xfId="1" applyNumberFormat="1" applyFont="1" applyFill="1" applyBorder="1" applyAlignment="1">
      <alignment horizontal="right" vertical="top"/>
    </xf>
    <xf numFmtId="164" fontId="9" fillId="6" borderId="32" xfId="1" applyNumberFormat="1" applyFont="1" applyFill="1" applyBorder="1" applyAlignment="1">
      <alignment horizontal="right" vertical="top"/>
    </xf>
    <xf numFmtId="9" fontId="4" fillId="6" borderId="34" xfId="3" applyFont="1" applyFill="1" applyBorder="1"/>
    <xf numFmtId="9" fontId="4" fillId="6" borderId="35" xfId="3" applyFont="1" applyFill="1" applyBorder="1"/>
    <xf numFmtId="9" fontId="4" fillId="6" borderId="36" xfId="3" applyFont="1" applyFill="1" applyBorder="1"/>
    <xf numFmtId="164" fontId="9" fillId="0" borderId="37" xfId="1" applyNumberFormat="1" applyFont="1" applyBorder="1" applyAlignment="1">
      <alignment horizontal="right" vertical="top"/>
    </xf>
    <xf numFmtId="164" fontId="9" fillId="0" borderId="38" xfId="1" applyNumberFormat="1" applyFont="1" applyBorder="1" applyAlignment="1">
      <alignment horizontal="right" vertical="top"/>
    </xf>
    <xf numFmtId="164" fontId="9" fillId="0" borderId="39" xfId="1" applyNumberFormat="1" applyFont="1" applyBorder="1" applyAlignment="1">
      <alignment horizontal="right" vertical="top"/>
    </xf>
    <xf numFmtId="164" fontId="9" fillId="0" borderId="30" xfId="1" applyNumberFormat="1" applyFont="1" applyFill="1" applyBorder="1" applyAlignment="1">
      <alignment vertical="top"/>
    </xf>
    <xf numFmtId="164" fontId="9" fillId="0" borderId="33" xfId="1" applyNumberFormat="1" applyFont="1" applyFill="1" applyBorder="1" applyAlignment="1">
      <alignment vertical="top"/>
    </xf>
    <xf numFmtId="164" fontId="9" fillId="0" borderId="32" xfId="1" applyNumberFormat="1" applyFont="1" applyFill="1" applyBorder="1" applyAlignment="1">
      <alignment vertical="top"/>
    </xf>
    <xf numFmtId="164" fontId="9" fillId="0" borderId="40" xfId="1" applyNumberFormat="1" applyFont="1" applyBorder="1" applyAlignment="1">
      <alignment vertical="top"/>
    </xf>
    <xf numFmtId="164" fontId="9" fillId="0" borderId="41" xfId="1" applyNumberFormat="1" applyFont="1" applyBorder="1" applyAlignment="1">
      <alignment vertical="top"/>
    </xf>
    <xf numFmtId="164" fontId="9" fillId="0" borderId="42" xfId="1" applyNumberFormat="1" applyFont="1" applyBorder="1" applyAlignment="1">
      <alignment vertical="top"/>
    </xf>
    <xf numFmtId="164" fontId="9" fillId="0" borderId="30" xfId="1" applyNumberFormat="1" applyFont="1" applyBorder="1" applyAlignment="1">
      <alignment vertical="top"/>
    </xf>
    <xf numFmtId="164" fontId="9" fillId="0" borderId="33" xfId="1" applyNumberFormat="1" applyFont="1" applyBorder="1" applyAlignment="1">
      <alignment vertical="top"/>
    </xf>
    <xf numFmtId="164" fontId="9" fillId="0" borderId="32" xfId="1" applyNumberFormat="1" applyFont="1" applyBorder="1" applyAlignment="1">
      <alignment vertical="top"/>
    </xf>
    <xf numFmtId="0" fontId="3" fillId="6" borderId="22" xfId="2" applyFont="1" applyFill="1" applyBorder="1"/>
    <xf numFmtId="164" fontId="9" fillId="0" borderId="43" xfId="1" applyNumberFormat="1" applyFont="1" applyFill="1" applyBorder="1" applyAlignment="1">
      <alignment vertical="top"/>
    </xf>
    <xf numFmtId="164" fontId="9" fillId="0" borderId="44" xfId="1" applyNumberFormat="1" applyFont="1" applyFill="1" applyBorder="1" applyAlignment="1">
      <alignment vertical="top"/>
    </xf>
    <xf numFmtId="164" fontId="9" fillId="0" borderId="45" xfId="1" applyNumberFormat="1" applyFont="1" applyFill="1" applyBorder="1" applyAlignment="1">
      <alignment vertical="top"/>
    </xf>
    <xf numFmtId="164" fontId="9" fillId="0" borderId="46" xfId="1" applyNumberFormat="1" applyFont="1" applyBorder="1" applyAlignment="1">
      <alignment vertical="top"/>
    </xf>
    <xf numFmtId="164" fontId="9" fillId="0" borderId="47" xfId="1" applyNumberFormat="1" applyFont="1" applyBorder="1" applyAlignment="1">
      <alignment vertical="top"/>
    </xf>
    <xf numFmtId="164" fontId="9" fillId="0" borderId="48" xfId="1" applyNumberFormat="1" applyFont="1" applyBorder="1" applyAlignment="1">
      <alignment vertical="top"/>
    </xf>
    <xf numFmtId="164" fontId="9" fillId="5" borderId="49" xfId="1" applyNumberFormat="1" applyFont="1" applyFill="1" applyBorder="1" applyAlignment="1">
      <alignment horizontal="right" vertical="top"/>
    </xf>
    <xf numFmtId="164" fontId="9" fillId="5" borderId="50" xfId="1" applyNumberFormat="1" applyFont="1" applyFill="1" applyBorder="1" applyAlignment="1">
      <alignment horizontal="right" vertical="top"/>
    </xf>
    <xf numFmtId="164" fontId="9" fillId="5" borderId="51" xfId="1" applyNumberFormat="1" applyFont="1" applyFill="1" applyBorder="1" applyAlignment="1">
      <alignment horizontal="right" vertical="top"/>
    </xf>
    <xf numFmtId="9" fontId="4" fillId="5" borderId="52" xfId="3" applyFont="1" applyFill="1" applyBorder="1"/>
    <xf numFmtId="9" fontId="4" fillId="5" borderId="53" xfId="3" applyFont="1" applyFill="1" applyBorder="1"/>
    <xf numFmtId="9" fontId="4" fillId="5" borderId="54" xfId="3" applyFont="1" applyFill="1" applyBorder="1"/>
    <xf numFmtId="0" fontId="11" fillId="0" borderId="0" xfId="2" applyFont="1" applyAlignment="1">
      <alignment vertical="center"/>
    </xf>
    <xf numFmtId="43" fontId="11" fillId="0" borderId="0" xfId="1" applyFont="1" applyAlignment="1">
      <alignment vertical="center"/>
    </xf>
    <xf numFmtId="42" fontId="4" fillId="0" borderId="0" xfId="2" applyNumberFormat="1" applyFont="1"/>
    <xf numFmtId="0" fontId="12" fillId="0" borderId="3" xfId="2" applyFont="1" applyBorder="1"/>
    <xf numFmtId="42" fontId="9" fillId="7" borderId="0" xfId="2" applyNumberFormat="1" applyFont="1" applyFill="1" applyAlignment="1">
      <alignment vertical="top"/>
    </xf>
    <xf numFmtId="42" fontId="4" fillId="0" borderId="0" xfId="4" applyNumberFormat="1" applyFont="1" applyAlignment="1">
      <alignment horizontal="center"/>
    </xf>
    <xf numFmtId="164" fontId="9" fillId="0" borderId="0" xfId="2" applyNumberFormat="1" applyFont="1" applyAlignment="1">
      <alignment vertical="top"/>
    </xf>
    <xf numFmtId="5" fontId="9" fillId="0" borderId="0" xfId="2" applyNumberFormat="1" applyFont="1" applyAlignment="1">
      <alignment vertical="top"/>
    </xf>
    <xf numFmtId="37" fontId="4" fillId="0" borderId="0" xfId="4" applyNumberFormat="1" applyFont="1" applyAlignment="1">
      <alignment horizontal="center"/>
    </xf>
    <xf numFmtId="9" fontId="9" fillId="0" borderId="0" xfId="3" applyFont="1" applyFill="1" applyBorder="1" applyAlignment="1">
      <alignment horizontal="center" vertical="top"/>
    </xf>
    <xf numFmtId="43" fontId="4" fillId="0" borderId="0" xfId="1" applyFont="1" applyAlignment="1">
      <alignment horizontal="center"/>
    </xf>
    <xf numFmtId="164" fontId="9" fillId="0" borderId="26" xfId="1" applyNumberFormat="1" applyFont="1" applyFill="1" applyBorder="1" applyAlignment="1">
      <alignment horizontal="right" vertical="top"/>
    </xf>
    <xf numFmtId="9" fontId="4" fillId="0" borderId="1" xfId="3" applyFont="1" applyBorder="1"/>
    <xf numFmtId="9" fontId="4" fillId="0" borderId="2" xfId="3" applyFont="1" applyBorder="1"/>
    <xf numFmtId="9" fontId="4" fillId="0" borderId="55" xfId="3" applyFont="1" applyBorder="1"/>
    <xf numFmtId="9" fontId="4" fillId="0" borderId="3" xfId="3" applyFont="1" applyBorder="1"/>
    <xf numFmtId="9" fontId="4" fillId="0" borderId="0" xfId="3" applyFont="1" applyBorder="1"/>
    <xf numFmtId="9" fontId="4" fillId="0" borderId="56" xfId="3" applyFont="1" applyBorder="1"/>
    <xf numFmtId="164" fontId="9" fillId="0" borderId="46" xfId="1" applyNumberFormat="1" applyFont="1" applyFill="1" applyBorder="1" applyAlignment="1">
      <alignment horizontal="right" vertical="top"/>
    </xf>
    <xf numFmtId="164" fontId="9" fillId="0" borderId="47" xfId="1" applyNumberFormat="1" applyFont="1" applyFill="1" applyBorder="1" applyAlignment="1">
      <alignment horizontal="right" vertical="top"/>
    </xf>
    <xf numFmtId="164" fontId="9" fillId="0" borderId="47" xfId="1" applyNumberFormat="1" applyFont="1" applyBorder="1" applyAlignment="1">
      <alignment horizontal="right" vertical="top"/>
    </xf>
    <xf numFmtId="164" fontId="9" fillId="0" borderId="48" xfId="1" applyNumberFormat="1" applyFont="1" applyBorder="1" applyAlignment="1">
      <alignment horizontal="right" vertical="top"/>
    </xf>
    <xf numFmtId="9" fontId="4" fillId="0" borderId="18" xfId="3" applyFont="1" applyBorder="1"/>
    <xf numFmtId="9" fontId="4" fillId="0" borderId="57" xfId="3" applyFont="1" applyBorder="1"/>
    <xf numFmtId="9" fontId="4" fillId="0" borderId="58" xfId="3" applyFont="1" applyBorder="1"/>
    <xf numFmtId="10" fontId="4" fillId="0" borderId="0" xfId="3" applyNumberFormat="1" applyFont="1" applyAlignment="1">
      <alignment horizontal="center"/>
    </xf>
    <xf numFmtId="164" fontId="4" fillId="0" borderId="0" xfId="1" applyNumberFormat="1" applyFont="1" applyAlignment="1">
      <alignment horizontal="center"/>
    </xf>
    <xf numFmtId="0" fontId="9" fillId="0" borderId="0" xfId="2" applyFont="1" applyAlignment="1">
      <alignment horizontal="center" vertical="top"/>
    </xf>
    <xf numFmtId="2" fontId="9" fillId="0" borderId="0" xfId="2" applyNumberFormat="1" applyFont="1" applyAlignment="1">
      <alignment horizontal="right" vertical="top"/>
    </xf>
    <xf numFmtId="10" fontId="9" fillId="0" borderId="0" xfId="3" applyNumberFormat="1" applyFont="1" applyAlignment="1">
      <alignment horizontal="right" vertical="top"/>
    </xf>
    <xf numFmtId="0" fontId="9" fillId="0" borderId="0" xfId="2" applyFont="1" applyAlignment="1">
      <alignment horizontal="right" vertical="top"/>
    </xf>
    <xf numFmtId="164" fontId="9" fillId="0" borderId="59" xfId="1" applyNumberFormat="1" applyFont="1" applyBorder="1" applyAlignment="1">
      <alignment horizontal="right" vertical="top"/>
    </xf>
    <xf numFmtId="164" fontId="9" fillId="0" borderId="60" xfId="1" applyNumberFormat="1" applyFont="1" applyBorder="1" applyAlignment="1">
      <alignment horizontal="right" vertical="top"/>
    </xf>
    <xf numFmtId="164" fontId="9" fillId="0" borderId="61" xfId="1" applyNumberFormat="1" applyFont="1" applyBorder="1" applyAlignment="1">
      <alignment horizontal="right" vertical="top"/>
    </xf>
    <xf numFmtId="164" fontId="9" fillId="0" borderId="62" xfId="1" applyNumberFormat="1" applyFont="1" applyBorder="1" applyAlignment="1">
      <alignment horizontal="right" vertical="top"/>
    </xf>
    <xf numFmtId="9" fontId="4" fillId="5" borderId="12" xfId="3" applyFont="1" applyFill="1" applyBorder="1"/>
    <xf numFmtId="9" fontId="4" fillId="5" borderId="13" xfId="3" applyFont="1" applyFill="1" applyBorder="1"/>
    <xf numFmtId="9" fontId="4" fillId="5" borderId="14" xfId="3" applyFont="1" applyFill="1" applyBorder="1"/>
    <xf numFmtId="5" fontId="4" fillId="0" borderId="0" xfId="2" applyNumberFormat="1" applyFont="1" applyAlignment="1">
      <alignment vertical="top"/>
    </xf>
    <xf numFmtId="9" fontId="4" fillId="0" borderId="0" xfId="3" applyFont="1"/>
    <xf numFmtId="164" fontId="4" fillId="0" borderId="27" xfId="1" applyNumberFormat="1" applyFont="1" applyFill="1" applyBorder="1" applyAlignment="1">
      <alignment horizontal="right" vertical="top"/>
    </xf>
    <xf numFmtId="164" fontId="4" fillId="0" borderId="28" xfId="1" applyNumberFormat="1" applyFont="1" applyFill="1" applyBorder="1" applyAlignment="1">
      <alignment horizontal="right" vertical="top"/>
    </xf>
    <xf numFmtId="164" fontId="4" fillId="0" borderId="29" xfId="1" applyNumberFormat="1" applyFont="1" applyFill="1" applyBorder="1" applyAlignment="1">
      <alignment horizontal="right" vertical="top"/>
    </xf>
    <xf numFmtId="164" fontId="4" fillId="0" borderId="63" xfId="1" applyNumberFormat="1" applyFont="1" applyFill="1" applyBorder="1" applyAlignment="1">
      <alignment horizontal="right" vertical="top"/>
    </xf>
    <xf numFmtId="164" fontId="4" fillId="0" borderId="64" xfId="1" applyNumberFormat="1" applyFont="1" applyFill="1" applyBorder="1" applyAlignment="1">
      <alignment horizontal="right" vertical="top"/>
    </xf>
    <xf numFmtId="164" fontId="4" fillId="0" borderId="65" xfId="1" applyNumberFormat="1" applyFont="1" applyFill="1" applyBorder="1" applyAlignment="1">
      <alignment horizontal="right" vertical="top"/>
    </xf>
    <xf numFmtId="2" fontId="4" fillId="0" borderId="34" xfId="2" applyNumberFormat="1" applyFont="1" applyBorder="1" applyAlignment="1">
      <alignment horizontal="right" vertical="top"/>
    </xf>
    <xf numFmtId="2" fontId="4" fillId="0" borderId="35" xfId="2" applyNumberFormat="1" applyFont="1" applyBorder="1" applyAlignment="1">
      <alignment horizontal="right" vertical="top"/>
    </xf>
    <xf numFmtId="2" fontId="4" fillId="0" borderId="36" xfId="2" applyNumberFormat="1" applyFont="1" applyBorder="1" applyAlignment="1">
      <alignment horizontal="right" vertical="top"/>
    </xf>
    <xf numFmtId="165" fontId="4" fillId="0" borderId="34" xfId="2" applyNumberFormat="1" applyFont="1" applyBorder="1" applyAlignment="1">
      <alignment horizontal="right" vertical="top"/>
    </xf>
    <xf numFmtId="165" fontId="4" fillId="0" borderId="35" xfId="2" applyNumberFormat="1" applyFont="1" applyBorder="1" applyAlignment="1">
      <alignment horizontal="right" vertical="top"/>
    </xf>
    <xf numFmtId="165" fontId="4" fillId="0" borderId="36" xfId="2" applyNumberFormat="1" applyFont="1" applyBorder="1" applyAlignment="1">
      <alignment horizontal="right" vertical="top"/>
    </xf>
    <xf numFmtId="2" fontId="4" fillId="0" borderId="52" xfId="2" applyNumberFormat="1" applyFont="1" applyBorder="1" applyAlignment="1">
      <alignment horizontal="right" vertical="top"/>
    </xf>
    <xf numFmtId="2" fontId="4" fillId="0" borderId="53" xfId="2" applyNumberFormat="1" applyFont="1" applyBorder="1" applyAlignment="1">
      <alignment horizontal="right" vertical="top"/>
    </xf>
    <xf numFmtId="2" fontId="4" fillId="0" borderId="54" xfId="2" applyNumberFormat="1" applyFont="1" applyBorder="1" applyAlignment="1">
      <alignment horizontal="right" vertical="top"/>
    </xf>
    <xf numFmtId="0" fontId="4" fillId="0" borderId="0" xfId="2" applyFont="1" applyAlignment="1">
      <alignment horizontal="center"/>
    </xf>
    <xf numFmtId="164" fontId="4" fillId="0" borderId="66" xfId="1" applyNumberFormat="1" applyFont="1" applyFill="1" applyBorder="1" applyAlignment="1">
      <alignment vertical="top"/>
    </xf>
    <xf numFmtId="164" fontId="4" fillId="0" borderId="67" xfId="1" applyNumberFormat="1" applyFont="1" applyFill="1" applyBorder="1" applyAlignment="1">
      <alignment vertical="top"/>
    </xf>
    <xf numFmtId="164" fontId="4" fillId="0" borderId="29" xfId="1" applyNumberFormat="1" applyFont="1" applyFill="1" applyBorder="1" applyAlignment="1">
      <alignment vertical="top"/>
    </xf>
    <xf numFmtId="164" fontId="4" fillId="0" borderId="68" xfId="1" applyNumberFormat="1" applyFont="1" applyFill="1" applyBorder="1" applyAlignment="1">
      <alignment vertical="top"/>
    </xf>
    <xf numFmtId="164" fontId="4" fillId="0" borderId="69" xfId="1" applyNumberFormat="1" applyFont="1" applyFill="1" applyBorder="1" applyAlignment="1">
      <alignment vertical="top"/>
    </xf>
    <xf numFmtId="164" fontId="4" fillId="0" borderId="9" xfId="1" applyNumberFormat="1" applyFont="1" applyFill="1" applyBorder="1" applyAlignment="1">
      <alignment vertical="top"/>
    </xf>
    <xf numFmtId="164" fontId="4" fillId="0" borderId="65" xfId="1" applyNumberFormat="1" applyFont="1" applyFill="1" applyBorder="1" applyAlignment="1">
      <alignment vertical="top"/>
    </xf>
    <xf numFmtId="164" fontId="4" fillId="0" borderId="10" xfId="1" applyNumberFormat="1" applyFont="1" applyFill="1" applyBorder="1" applyAlignment="1">
      <alignment vertical="top"/>
    </xf>
    <xf numFmtId="0" fontId="9" fillId="0" borderId="10" xfId="2" applyFont="1" applyBorder="1"/>
    <xf numFmtId="0" fontId="3" fillId="5" borderId="0" xfId="2" applyFont="1" applyFill="1"/>
    <xf numFmtId="164" fontId="9" fillId="5" borderId="70" xfId="2" applyNumberFormat="1" applyFont="1" applyFill="1" applyBorder="1" applyAlignment="1">
      <alignment vertical="top"/>
    </xf>
    <xf numFmtId="164" fontId="9" fillId="5" borderId="71" xfId="2" applyNumberFormat="1" applyFont="1" applyFill="1" applyBorder="1" applyAlignment="1">
      <alignment vertical="top"/>
    </xf>
    <xf numFmtId="164" fontId="9" fillId="5" borderId="36" xfId="2" applyNumberFormat="1" applyFont="1" applyFill="1" applyBorder="1" applyAlignment="1">
      <alignment vertical="top"/>
    </xf>
    <xf numFmtId="164" fontId="9" fillId="5" borderId="72" xfId="2" applyNumberFormat="1" applyFont="1" applyFill="1" applyBorder="1" applyAlignment="1">
      <alignment vertical="top"/>
    </xf>
    <xf numFmtId="0" fontId="0" fillId="0" borderId="69" xfId="2" applyFont="1" applyBorder="1" applyAlignment="1">
      <alignment vertical="top"/>
    </xf>
    <xf numFmtId="0" fontId="0" fillId="0" borderId="9" xfId="2" applyFont="1" applyBorder="1" applyAlignment="1">
      <alignment vertical="top"/>
    </xf>
    <xf numFmtId="0" fontId="0" fillId="0" borderId="65" xfId="2" applyFont="1" applyBorder="1" applyAlignment="1">
      <alignment vertical="top"/>
    </xf>
    <xf numFmtId="0" fontId="0" fillId="0" borderId="10" xfId="2" applyFont="1" applyBorder="1" applyAlignment="1">
      <alignment vertical="top"/>
    </xf>
    <xf numFmtId="164" fontId="9" fillId="5" borderId="73" xfId="1" applyNumberFormat="1" applyFont="1" applyFill="1" applyBorder="1" applyAlignment="1">
      <alignment horizontal="right" vertical="top"/>
    </xf>
    <xf numFmtId="0" fontId="13" fillId="0" borderId="78" xfId="2" applyFont="1" applyBorder="1" applyAlignment="1">
      <alignment horizontal="center" vertical="center" wrapText="1"/>
    </xf>
    <xf numFmtId="0" fontId="13" fillId="0" borderId="79" xfId="2" applyFont="1" applyBorder="1" applyAlignment="1">
      <alignment horizontal="center" vertical="center" wrapText="1"/>
    </xf>
    <xf numFmtId="0" fontId="13" fillId="0" borderId="80" xfId="2" applyFont="1" applyBorder="1" applyAlignment="1">
      <alignment horizontal="center" vertical="center" wrapText="1"/>
    </xf>
    <xf numFmtId="0" fontId="13" fillId="0" borderId="81" xfId="2" applyFont="1" applyBorder="1" applyAlignment="1">
      <alignment horizontal="center" vertical="center" wrapText="1"/>
    </xf>
    <xf numFmtId="0" fontId="6" fillId="0" borderId="82" xfId="2" applyFont="1" applyBorder="1" applyAlignment="1">
      <alignment vertical="center" wrapText="1"/>
    </xf>
    <xf numFmtId="44" fontId="6" fillId="0" borderId="33" xfId="2" applyNumberFormat="1" applyFont="1" applyBorder="1" applyAlignment="1">
      <alignment vertical="center" wrapText="1"/>
    </xf>
    <xf numFmtId="0" fontId="9" fillId="0" borderId="83" xfId="2" applyFont="1" applyBorder="1" applyAlignment="1">
      <alignment horizontal="center"/>
    </xf>
    <xf numFmtId="0" fontId="6" fillId="8" borderId="82" xfId="2" applyFont="1" applyFill="1" applyBorder="1" applyAlignment="1">
      <alignment vertical="center" wrapText="1"/>
    </xf>
    <xf numFmtId="44" fontId="6" fillId="8" borderId="33" xfId="2" applyNumberFormat="1" applyFont="1" applyFill="1" applyBorder="1" applyAlignment="1">
      <alignment vertical="center" wrapText="1"/>
    </xf>
    <xf numFmtId="0" fontId="9" fillId="8" borderId="83" xfId="2" applyFont="1" applyFill="1" applyBorder="1" applyAlignment="1">
      <alignment horizontal="center"/>
    </xf>
    <xf numFmtId="0" fontId="9" fillId="8" borderId="83" xfId="2" applyFont="1" applyFill="1" applyBorder="1" applyAlignment="1">
      <alignment horizontal="center" wrapText="1"/>
    </xf>
    <xf numFmtId="0" fontId="9" fillId="0" borderId="84" xfId="2" applyFont="1" applyBorder="1" applyAlignment="1">
      <alignment vertical="center" wrapText="1"/>
    </xf>
    <xf numFmtId="44" fontId="6" fillId="0" borderId="38" xfId="2" applyNumberFormat="1" applyFont="1" applyBorder="1" applyAlignment="1">
      <alignment vertical="center" wrapText="1"/>
    </xf>
    <xf numFmtId="0" fontId="9" fillId="0" borderId="85" xfId="2" applyFont="1" applyBorder="1" applyAlignment="1">
      <alignment horizontal="center"/>
    </xf>
    <xf numFmtId="0" fontId="6" fillId="0" borderId="86" xfId="2" applyFont="1" applyBorder="1" applyAlignment="1">
      <alignment vertical="center" wrapText="1"/>
    </xf>
    <xf numFmtId="44" fontId="6" fillId="0" borderId="87" xfId="2" applyNumberFormat="1" applyFont="1" applyBorder="1" applyAlignment="1">
      <alignment vertical="center" wrapText="1"/>
    </xf>
    <xf numFmtId="0" fontId="9" fillId="0" borderId="88" xfId="2" applyFont="1" applyBorder="1" applyAlignment="1">
      <alignment horizontal="center"/>
    </xf>
    <xf numFmtId="0" fontId="6" fillId="0" borderId="89" xfId="2" applyFont="1" applyBorder="1" applyAlignment="1">
      <alignment vertical="center" wrapText="1"/>
    </xf>
    <xf numFmtId="44" fontId="6" fillId="0" borderId="90" xfId="2" applyNumberFormat="1" applyFont="1" applyBorder="1" applyAlignment="1">
      <alignment vertical="center" wrapText="1"/>
    </xf>
    <xf numFmtId="0" fontId="6" fillId="0" borderId="0" xfId="2" applyFont="1" applyAlignment="1">
      <alignment vertical="center" wrapText="1"/>
    </xf>
    <xf numFmtId="44" fontId="6" fillId="0" borderId="0" xfId="2" applyNumberFormat="1" applyFont="1" applyAlignment="1">
      <alignment vertical="center" wrapText="1"/>
    </xf>
    <xf numFmtId="0" fontId="9" fillId="0" borderId="0" xfId="2" applyFont="1" applyAlignment="1">
      <alignment horizontal="center"/>
    </xf>
    <xf numFmtId="0" fontId="2" fillId="0" borderId="0" xfId="5" applyFont="1"/>
    <xf numFmtId="0" fontId="9" fillId="0" borderId="0" xfId="2" applyFont="1" applyAlignment="1">
      <alignment horizontal="left"/>
    </xf>
    <xf numFmtId="9" fontId="4" fillId="0" borderId="0" xfId="5" applyNumberFormat="1" applyFont="1" applyAlignment="1">
      <alignment horizontal="center"/>
    </xf>
    <xf numFmtId="0" fontId="4" fillId="0" borderId="0" xfId="5" applyFont="1"/>
    <xf numFmtId="6" fontId="4" fillId="0" borderId="0" xfId="5" applyNumberFormat="1" applyFont="1" applyAlignment="1">
      <alignment horizontal="center"/>
    </xf>
    <xf numFmtId="164" fontId="0" fillId="0" borderId="0" xfId="1" applyNumberFormat="1" applyFont="1"/>
    <xf numFmtId="0" fontId="9" fillId="0" borderId="0" xfId="2" applyFont="1" applyAlignment="1">
      <alignment horizontal="right"/>
    </xf>
    <xf numFmtId="0" fontId="2" fillId="3" borderId="12" xfId="2" applyFont="1" applyFill="1" applyBorder="1" applyAlignment="1">
      <alignment horizontal="center"/>
    </xf>
    <xf numFmtId="0" fontId="2" fillId="3" borderId="13" xfId="2" applyFont="1" applyFill="1" applyBorder="1" applyAlignment="1">
      <alignment horizontal="center"/>
    </xf>
    <xf numFmtId="0" fontId="2" fillId="4" borderId="12" xfId="2" applyFont="1" applyFill="1" applyBorder="1" applyAlignment="1">
      <alignment horizontal="center"/>
    </xf>
    <xf numFmtId="0" fontId="2" fillId="4" borderId="13" xfId="2" applyFont="1" applyFill="1" applyBorder="1" applyAlignment="1">
      <alignment horizontal="center"/>
    </xf>
    <xf numFmtId="0" fontId="2" fillId="4" borderId="14" xfId="2" applyFont="1" applyFill="1" applyBorder="1" applyAlignment="1">
      <alignment horizontal="center"/>
    </xf>
    <xf numFmtId="0" fontId="13" fillId="0" borderId="74" xfId="2" applyFont="1" applyBorder="1" applyAlignment="1">
      <alignment horizontal="center" vertical="center" wrapText="1"/>
    </xf>
    <xf numFmtId="0" fontId="1" fillId="0" borderId="75" xfId="2" applyBorder="1"/>
    <xf numFmtId="0" fontId="1" fillId="0" borderId="76" xfId="2" applyBorder="1"/>
    <xf numFmtId="0" fontId="1" fillId="0" borderId="22" xfId="2" applyBorder="1"/>
    <xf numFmtId="0" fontId="1" fillId="0" borderId="0" xfId="2"/>
    <xf numFmtId="0" fontId="1" fillId="0" borderId="77" xfId="2" applyBorder="1"/>
    <xf numFmtId="0" fontId="5" fillId="2" borderId="4" xfId="2" applyFont="1" applyFill="1" applyBorder="1" applyAlignment="1">
      <alignment horizontal="center" vertical="center"/>
    </xf>
    <xf numFmtId="0" fontId="5" fillId="2" borderId="5" xfId="2" applyFont="1" applyFill="1" applyBorder="1" applyAlignment="1">
      <alignment horizontal="center" vertical="center"/>
    </xf>
    <xf numFmtId="0" fontId="5" fillId="2" borderId="6" xfId="2" applyFont="1" applyFill="1" applyBorder="1" applyAlignment="1">
      <alignment horizontal="center" vertical="center"/>
    </xf>
    <xf numFmtId="0" fontId="6" fillId="2" borderId="7" xfId="2" applyFont="1" applyFill="1" applyBorder="1" applyAlignment="1">
      <alignment horizontal="center" vertical="center"/>
    </xf>
    <xf numFmtId="0" fontId="6" fillId="2" borderId="0" xfId="2" applyFont="1" applyFill="1" applyAlignment="1">
      <alignment horizontal="center" vertical="center"/>
    </xf>
    <xf numFmtId="0" fontId="6" fillId="2" borderId="8" xfId="2" applyFont="1" applyFill="1" applyBorder="1" applyAlignment="1">
      <alignment horizontal="center" vertical="center"/>
    </xf>
    <xf numFmtId="0" fontId="6" fillId="2" borderId="9" xfId="2" applyFont="1" applyFill="1" applyBorder="1" applyAlignment="1">
      <alignment horizontal="center" vertical="center"/>
    </xf>
    <xf numFmtId="0" fontId="6" fillId="2" borderId="10" xfId="2" applyFont="1" applyFill="1" applyBorder="1" applyAlignment="1">
      <alignment horizontal="center" vertical="center"/>
    </xf>
    <xf numFmtId="0" fontId="6" fillId="2" borderId="11" xfId="2" applyFont="1" applyFill="1" applyBorder="1" applyAlignment="1">
      <alignment horizontal="center" vertical="center"/>
    </xf>
    <xf numFmtId="0" fontId="2" fillId="3" borderId="14" xfId="2" applyFont="1" applyFill="1" applyBorder="1" applyAlignment="1">
      <alignment horizontal="center"/>
    </xf>
  </cellXfs>
  <cellStyles count="6">
    <cellStyle name="Comma" xfId="1" builtinId="3"/>
    <cellStyle name="Comma0" xfId="4" xr:uid="{4E95A1AF-3D8B-4984-A00D-55D2C3254605}"/>
    <cellStyle name="Normal" xfId="0" builtinId="0"/>
    <cellStyle name="Normal 2" xfId="2" xr:uid="{0FDD2DC5-F75A-4829-8C9F-B1F83D7D64AE}"/>
    <cellStyle name="Normal 3" xfId="5" xr:uid="{FAE10867-E6FB-4BB2-94AA-35E127AFCD1D}"/>
    <cellStyle name="Percent 2" xfId="3" xr:uid="{05F613EE-1E2A-4EF6-9E44-C54D20956C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C1213-4B8A-4BFB-90C8-B2E875BBD416}">
  <sheetPr>
    <tabColor theme="0" tint="-0.499984740745262"/>
    <pageSetUpPr fitToPage="1"/>
  </sheetPr>
  <dimension ref="A1:W166"/>
  <sheetViews>
    <sheetView tabSelected="1" zoomScale="90" zoomScaleNormal="90" zoomScaleSheetLayoutView="85" workbookViewId="0">
      <pane xSplit="2" ySplit="11" topLeftCell="C34" activePane="bottomRight" state="frozen"/>
      <selection pane="topRight" activeCell="C1" sqref="C1"/>
      <selection pane="bottomLeft" activeCell="A12" sqref="A12"/>
      <selection pane="bottomRight" activeCell="D11" sqref="D11"/>
    </sheetView>
  </sheetViews>
  <sheetFormatPr defaultColWidth="8.5546875" defaultRowHeight="14.4" outlineLevelCol="1" x14ac:dyDescent="0.3"/>
  <cols>
    <col min="1" max="1" width="49.44140625" style="6" bestFit="1" customWidth="1"/>
    <col min="2" max="2" width="1.109375" style="13" customWidth="1"/>
    <col min="3" max="12" width="14.44140625" style="6" customWidth="1"/>
    <col min="13" max="13" width="4.5546875" style="6" customWidth="1"/>
    <col min="14" max="15" width="0" style="6" hidden="1" customWidth="1" outlineLevel="1"/>
    <col min="16" max="22" width="9.109375" style="6" hidden="1" customWidth="1" outlineLevel="1"/>
    <col min="23" max="23" width="8.5546875" style="6" collapsed="1"/>
    <col min="24" max="16384" width="8.5546875" style="6"/>
  </cols>
  <sheetData>
    <row r="1" spans="1:22" ht="13.2" x14ac:dyDescent="0.25">
      <c r="A1" s="1" t="s">
        <v>0</v>
      </c>
      <c r="B1" s="2"/>
      <c r="C1" s="3"/>
      <c r="D1" s="4"/>
      <c r="E1" s="5"/>
      <c r="F1" s="5"/>
      <c r="G1" s="5"/>
      <c r="H1" s="5"/>
      <c r="I1" s="5"/>
      <c r="J1" s="5"/>
      <c r="K1" s="5"/>
      <c r="L1" s="5"/>
    </row>
    <row r="2" spans="1:22" ht="13.2" x14ac:dyDescent="0.25">
      <c r="A2" s="7" t="s">
        <v>1</v>
      </c>
      <c r="B2" s="2"/>
      <c r="C2" s="4"/>
      <c r="D2" s="4"/>
      <c r="E2" s="5"/>
      <c r="F2" s="5"/>
      <c r="G2" s="5"/>
      <c r="H2" s="5"/>
      <c r="I2" s="8"/>
      <c r="J2" s="8"/>
      <c r="K2" s="9"/>
      <c r="L2" s="5"/>
    </row>
    <row r="3" spans="1:22" ht="13.2" x14ac:dyDescent="0.25">
      <c r="A3" s="10" t="s">
        <v>2</v>
      </c>
      <c r="B3" s="2"/>
      <c r="C3" s="11"/>
      <c r="D3" s="11"/>
      <c r="E3" s="5"/>
      <c r="F3" s="5"/>
      <c r="G3" s="5"/>
      <c r="H3" s="5"/>
      <c r="I3" s="5"/>
      <c r="J3" s="5"/>
      <c r="K3" s="5"/>
      <c r="L3" s="5"/>
    </row>
    <row r="4" spans="1:22" ht="13.2" x14ac:dyDescent="0.25">
      <c r="A4" s="10" t="s">
        <v>3</v>
      </c>
      <c r="B4" s="2"/>
      <c r="C4" s="207" t="s">
        <v>4</v>
      </c>
      <c r="D4" s="208"/>
      <c r="E4" s="208"/>
      <c r="F4" s="208"/>
      <c r="G4" s="208"/>
      <c r="H4" s="208"/>
      <c r="I4" s="208"/>
      <c r="J4" s="208"/>
      <c r="K4" s="208"/>
      <c r="L4" s="209"/>
    </row>
    <row r="5" spans="1:22" x14ac:dyDescent="0.3">
      <c r="A5" s="12"/>
      <c r="C5" s="210" t="s">
        <v>5</v>
      </c>
      <c r="D5" s="211"/>
      <c r="E5" s="211"/>
      <c r="F5" s="211"/>
      <c r="G5" s="211"/>
      <c r="H5" s="211"/>
      <c r="I5" s="211"/>
      <c r="J5" s="211"/>
      <c r="K5" s="211"/>
      <c r="L5" s="212"/>
    </row>
    <row r="6" spans="1:22" x14ac:dyDescent="0.3">
      <c r="A6" s="12"/>
      <c r="C6" s="210" t="s">
        <v>6</v>
      </c>
      <c r="D6" s="211"/>
      <c r="E6" s="211"/>
      <c r="F6" s="211"/>
      <c r="G6" s="211"/>
      <c r="H6" s="211"/>
      <c r="I6" s="211"/>
      <c r="J6" s="211"/>
      <c r="K6" s="211"/>
      <c r="L6" s="212"/>
    </row>
    <row r="7" spans="1:22" x14ac:dyDescent="0.3">
      <c r="A7" s="12"/>
      <c r="C7" s="213" t="s">
        <v>7</v>
      </c>
      <c r="D7" s="214"/>
      <c r="E7" s="214"/>
      <c r="F7" s="214"/>
      <c r="G7" s="214"/>
      <c r="H7" s="214"/>
      <c r="I7" s="214"/>
      <c r="J7" s="214"/>
      <c r="K7" s="214"/>
      <c r="L7" s="215"/>
    </row>
    <row r="8" spans="1:22" ht="13.8" thickBot="1" x14ac:dyDescent="0.3">
      <c r="A8" s="14"/>
      <c r="B8" s="15"/>
      <c r="C8" s="16"/>
      <c r="D8" s="16"/>
      <c r="E8" s="16"/>
      <c r="F8" s="16"/>
      <c r="G8" s="16"/>
      <c r="H8" s="5"/>
      <c r="I8" s="5"/>
      <c r="J8" s="5"/>
      <c r="K8" s="5"/>
      <c r="L8" s="5"/>
    </row>
    <row r="9" spans="1:22" ht="13.8" thickBot="1" x14ac:dyDescent="0.3">
      <c r="A9" s="17"/>
      <c r="B9" s="18"/>
      <c r="C9" s="196" t="s">
        <v>8</v>
      </c>
      <c r="D9" s="197"/>
      <c r="E9" s="197"/>
      <c r="F9" s="197"/>
      <c r="G9" s="216"/>
      <c r="H9" s="198" t="s">
        <v>9</v>
      </c>
      <c r="I9" s="199"/>
      <c r="J9" s="199"/>
      <c r="K9" s="199"/>
      <c r="L9" s="200"/>
      <c r="N9" s="196" t="s">
        <v>8</v>
      </c>
      <c r="O9" s="197"/>
      <c r="P9" s="197"/>
      <c r="Q9" s="197"/>
      <c r="R9" s="198" t="s">
        <v>9</v>
      </c>
      <c r="S9" s="199"/>
      <c r="T9" s="199"/>
      <c r="U9" s="199"/>
      <c r="V9" s="200"/>
    </row>
    <row r="10" spans="1:22" ht="13.2" x14ac:dyDescent="0.25">
      <c r="A10" s="17"/>
      <c r="B10" s="18"/>
      <c r="C10" s="19" t="s">
        <v>10</v>
      </c>
      <c r="D10" s="20" t="s">
        <v>10</v>
      </c>
      <c r="E10" s="20" t="s">
        <v>10</v>
      </c>
      <c r="F10" s="20" t="s">
        <v>10</v>
      </c>
      <c r="G10" s="21" t="s">
        <v>10</v>
      </c>
      <c r="H10" s="20" t="s">
        <v>10</v>
      </c>
      <c r="I10" s="20" t="s">
        <v>10</v>
      </c>
      <c r="J10" s="20" t="s">
        <v>10</v>
      </c>
      <c r="K10" s="20" t="s">
        <v>10</v>
      </c>
      <c r="L10" s="21" t="s">
        <v>10</v>
      </c>
      <c r="N10" s="19" t="str">
        <f t="shared" ref="N10:V10" si="0">+D11</f>
        <v>FY20</v>
      </c>
      <c r="O10" s="20" t="str">
        <f t="shared" si="0"/>
        <v>FY21</v>
      </c>
      <c r="P10" s="20" t="str">
        <f t="shared" si="0"/>
        <v>FY22</v>
      </c>
      <c r="Q10" s="21" t="str">
        <f t="shared" si="0"/>
        <v>FY23</v>
      </c>
      <c r="R10" s="22" t="str">
        <f t="shared" si="0"/>
        <v>FY24</v>
      </c>
      <c r="S10" s="20" t="str">
        <f t="shared" si="0"/>
        <v>FY25</v>
      </c>
      <c r="T10" s="20" t="str">
        <f t="shared" si="0"/>
        <v>FY26</v>
      </c>
      <c r="U10" s="20" t="str">
        <f t="shared" si="0"/>
        <v>FY27</v>
      </c>
      <c r="V10" s="21" t="str">
        <f t="shared" si="0"/>
        <v>FY28</v>
      </c>
    </row>
    <row r="11" spans="1:22" ht="13.8" thickBot="1" x14ac:dyDescent="0.3">
      <c r="A11" s="17"/>
      <c r="B11" s="18"/>
      <c r="C11" s="23" t="s">
        <v>11</v>
      </c>
      <c r="D11" s="24" t="s">
        <v>12</v>
      </c>
      <c r="E11" s="24" t="s">
        <v>13</v>
      </c>
      <c r="F11" s="24" t="s">
        <v>14</v>
      </c>
      <c r="G11" s="25" t="s">
        <v>15</v>
      </c>
      <c r="H11" s="24" t="s">
        <v>16</v>
      </c>
      <c r="I11" s="24" t="s">
        <v>17</v>
      </c>
      <c r="J11" s="24" t="s">
        <v>18</v>
      </c>
      <c r="K11" s="24" t="s">
        <v>19</v>
      </c>
      <c r="L11" s="25" t="s">
        <v>20</v>
      </c>
      <c r="N11" s="23" t="str">
        <f t="shared" ref="N11:O11" si="1">+C11</f>
        <v>FY19</v>
      </c>
      <c r="O11" s="24" t="str">
        <f t="shared" si="1"/>
        <v>FY20</v>
      </c>
      <c r="P11" s="24" t="str">
        <f>+E11</f>
        <v>FY21</v>
      </c>
      <c r="Q11" s="25" t="str">
        <f t="shared" ref="Q11:R11" si="2">+F11</f>
        <v>FY22</v>
      </c>
      <c r="R11" s="26" t="str">
        <f t="shared" si="2"/>
        <v>FY23</v>
      </c>
      <c r="S11" s="24" t="str">
        <f>+H11</f>
        <v>FY24</v>
      </c>
      <c r="T11" s="24" t="str">
        <f t="shared" ref="T11:V11" si="3">+I11</f>
        <v>FY25</v>
      </c>
      <c r="U11" s="24" t="str">
        <f t="shared" si="3"/>
        <v>FY26</v>
      </c>
      <c r="V11" s="25" t="str">
        <f t="shared" si="3"/>
        <v>FY27</v>
      </c>
    </row>
    <row r="12" spans="1:22" ht="13.8" thickBot="1" x14ac:dyDescent="0.3">
      <c r="A12" s="27" t="s">
        <v>21</v>
      </c>
      <c r="B12" s="28"/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spans="1:22" ht="13.2" x14ac:dyDescent="0.25">
      <c r="A13" s="30" t="s">
        <v>22</v>
      </c>
      <c r="B13" s="18"/>
      <c r="C13" s="31">
        <v>1891423.49</v>
      </c>
      <c r="D13" s="32">
        <v>2014413.61</v>
      </c>
      <c r="E13" s="32">
        <v>2199565.9899999998</v>
      </c>
      <c r="F13" s="32">
        <v>2130826.0799999996</v>
      </c>
      <c r="G13" s="33">
        <f>2080972-328781</f>
        <v>1752191</v>
      </c>
      <c r="H13" s="34">
        <v>2372344.5300000003</v>
      </c>
      <c r="I13" s="35">
        <v>2530682.7376408298</v>
      </c>
      <c r="J13" s="35">
        <v>2736412.3262376296</v>
      </c>
      <c r="K13" s="35">
        <v>2875949.4502126169</v>
      </c>
      <c r="L13" s="36">
        <v>2982633.0869097495</v>
      </c>
      <c r="N13" s="37">
        <f t="shared" ref="N13:V13" si="4">+D13/C13-1</f>
        <v>6.5025162609141596E-2</v>
      </c>
      <c r="O13" s="38">
        <f t="shared" si="4"/>
        <v>9.1913785272727422E-2</v>
      </c>
      <c r="P13" s="38">
        <f t="shared" si="4"/>
        <v>-3.1251578862610097E-2</v>
      </c>
      <c r="Q13" s="39">
        <f t="shared" si="4"/>
        <v>-0.17769403310475707</v>
      </c>
      <c r="R13" s="37">
        <f t="shared" si="4"/>
        <v>0.35393032494745169</v>
      </c>
      <c r="S13" s="38">
        <f t="shared" si="4"/>
        <v>6.674334424807582E-2</v>
      </c>
      <c r="T13" s="38">
        <f t="shared" si="4"/>
        <v>8.1294105158589147E-2</v>
      </c>
      <c r="U13" s="38">
        <f t="shared" si="4"/>
        <v>5.0992726000047339E-2</v>
      </c>
      <c r="V13" s="39">
        <f t="shared" si="4"/>
        <v>3.7095101476573467E-2</v>
      </c>
    </row>
    <row r="14" spans="1:22" ht="13.2" x14ac:dyDescent="0.25">
      <c r="A14" s="30" t="s">
        <v>23</v>
      </c>
      <c r="B14" s="18"/>
      <c r="C14" s="40">
        <v>6866.5</v>
      </c>
      <c r="D14" s="41">
        <v>160.16999999999999</v>
      </c>
      <c r="E14" s="41">
        <v>0</v>
      </c>
      <c r="F14" s="41">
        <v>0</v>
      </c>
      <c r="G14" s="42">
        <v>0</v>
      </c>
      <c r="H14" s="43">
        <v>0</v>
      </c>
      <c r="I14" s="44">
        <v>0</v>
      </c>
      <c r="J14" s="44">
        <v>0</v>
      </c>
      <c r="K14" s="44">
        <v>0</v>
      </c>
      <c r="L14" s="45">
        <v>0</v>
      </c>
      <c r="N14" s="46"/>
      <c r="O14" s="47"/>
      <c r="P14" s="47"/>
      <c r="Q14" s="48"/>
      <c r="R14" s="46"/>
      <c r="S14" s="47"/>
      <c r="T14" s="47"/>
      <c r="U14" s="47"/>
      <c r="V14" s="48"/>
    </row>
    <row r="15" spans="1:22" ht="13.2" x14ac:dyDescent="0.25">
      <c r="A15" s="30" t="s">
        <v>24</v>
      </c>
      <c r="B15" s="18"/>
      <c r="C15" s="40">
        <v>1111.4100000000001</v>
      </c>
      <c r="D15" s="41">
        <v>4921.47</v>
      </c>
      <c r="E15" s="41">
        <v>1112.8699999999999</v>
      </c>
      <c r="F15" s="41">
        <v>5566.1399999999994</v>
      </c>
      <c r="G15" s="42">
        <v>0</v>
      </c>
      <c r="H15" s="43">
        <v>0</v>
      </c>
      <c r="I15" s="44">
        <v>0</v>
      </c>
      <c r="J15" s="44">
        <v>0</v>
      </c>
      <c r="K15" s="44">
        <v>0</v>
      </c>
      <c r="L15" s="45">
        <v>0</v>
      </c>
      <c r="N15" s="46"/>
      <c r="O15" s="47"/>
      <c r="P15" s="47"/>
      <c r="Q15" s="48"/>
      <c r="R15" s="46"/>
      <c r="S15" s="47"/>
      <c r="T15" s="47"/>
      <c r="U15" s="47"/>
      <c r="V15" s="48"/>
    </row>
    <row r="16" spans="1:22" ht="13.2" x14ac:dyDescent="0.25">
      <c r="A16" s="30" t="s">
        <v>25</v>
      </c>
      <c r="B16" s="18"/>
      <c r="C16" s="40">
        <v>159034.57</v>
      </c>
      <c r="D16" s="41">
        <v>445361.51</v>
      </c>
      <c r="E16" s="41">
        <v>355816.98</v>
      </c>
      <c r="F16" s="41">
        <v>305716.28999999992</v>
      </c>
      <c r="G16" s="42">
        <f>328781+7664+274607+20500</f>
        <v>631552</v>
      </c>
      <c r="H16" s="43">
        <v>1039242.6362145542</v>
      </c>
      <c r="I16" s="44">
        <v>1106159.1329913237</v>
      </c>
      <c r="J16" s="44">
        <v>556567.11807177949</v>
      </c>
      <c r="K16" s="44">
        <v>574736.40874706442</v>
      </c>
      <c r="L16" s="45">
        <v>587454.91221976373</v>
      </c>
      <c r="N16" s="46">
        <f t="shared" ref="N16:V53" si="5">+D16/C16-1</f>
        <v>1.8004069178166735</v>
      </c>
      <c r="O16" s="47">
        <f t="shared" si="5"/>
        <v>-0.20106032512778216</v>
      </c>
      <c r="P16" s="47">
        <f t="shared" si="5"/>
        <v>-0.14080466311641471</v>
      </c>
      <c r="Q16" s="48">
        <f t="shared" si="5"/>
        <v>1.0658107554556553</v>
      </c>
      <c r="R16" s="46">
        <f t="shared" si="5"/>
        <v>0.64553771694896733</v>
      </c>
      <c r="S16" s="47">
        <f t="shared" si="5"/>
        <v>6.4389676140033325E-2</v>
      </c>
      <c r="T16" s="47">
        <f t="shared" si="5"/>
        <v>-0.49684715203075125</v>
      </c>
      <c r="U16" s="47">
        <f t="shared" si="5"/>
        <v>3.2645282276524412E-2</v>
      </c>
      <c r="V16" s="48">
        <f t="shared" si="5"/>
        <v>2.2129280969733323E-2</v>
      </c>
    </row>
    <row r="17" spans="1:22" ht="13.2" x14ac:dyDescent="0.25">
      <c r="A17" s="49" t="s">
        <v>26</v>
      </c>
      <c r="B17" s="50"/>
      <c r="C17" s="51">
        <f>SUM(C13:C16)</f>
        <v>2058435.97</v>
      </c>
      <c r="D17" s="52">
        <f>SUM(D13:D16)</f>
        <v>2464856.7599999998</v>
      </c>
      <c r="E17" s="52">
        <f t="shared" ref="E17:F17" si="6">SUM(E13:E16)</f>
        <v>2556495.84</v>
      </c>
      <c r="F17" s="52">
        <f t="shared" si="6"/>
        <v>2442108.5099999998</v>
      </c>
      <c r="G17" s="53">
        <f>SUM(G13:G16)</f>
        <v>2383743</v>
      </c>
      <c r="H17" s="51">
        <f>SUM(H13:H16)</f>
        <v>3411587.1662145546</v>
      </c>
      <c r="I17" s="52">
        <f>SUM(I13:I16)</f>
        <v>3636841.8706321535</v>
      </c>
      <c r="J17" s="52">
        <f t="shared" ref="J17:K17" si="7">SUM(J13:J16)</f>
        <v>3292979.4443094092</v>
      </c>
      <c r="K17" s="52">
        <f t="shared" si="7"/>
        <v>3450685.8589596814</v>
      </c>
      <c r="L17" s="53">
        <f>SUM(L13:L16)</f>
        <v>3570087.9991295133</v>
      </c>
      <c r="N17" s="54">
        <f t="shared" si="5"/>
        <v>0.19744155073232617</v>
      </c>
      <c r="O17" s="55">
        <f t="shared" si="5"/>
        <v>3.7178257774297618E-2</v>
      </c>
      <c r="P17" s="55">
        <f t="shared" si="5"/>
        <v>-4.4743796649401202E-2</v>
      </c>
      <c r="Q17" s="56">
        <f t="shared" si="5"/>
        <v>-2.389963826791619E-2</v>
      </c>
      <c r="R17" s="54">
        <f t="shared" si="5"/>
        <v>0.43118917023125158</v>
      </c>
      <c r="S17" s="55">
        <f t="shared" si="5"/>
        <v>6.6026366451465535E-2</v>
      </c>
      <c r="T17" s="55">
        <f t="shared" si="5"/>
        <v>-9.4549732585149315E-2</v>
      </c>
      <c r="U17" s="55">
        <f t="shared" si="5"/>
        <v>4.7891709413128591E-2</v>
      </c>
      <c r="V17" s="56">
        <f t="shared" si="5"/>
        <v>3.4602437037206668E-2</v>
      </c>
    </row>
    <row r="18" spans="1:22" ht="13.2" x14ac:dyDescent="0.25">
      <c r="A18" s="57"/>
      <c r="B18" s="50"/>
      <c r="C18" s="40"/>
      <c r="D18" s="58"/>
      <c r="E18" s="58"/>
      <c r="F18" s="58"/>
      <c r="G18" s="42"/>
      <c r="H18" s="43"/>
      <c r="I18" s="44"/>
      <c r="J18" s="44"/>
      <c r="K18" s="44"/>
      <c r="L18" s="45"/>
      <c r="N18" s="46"/>
      <c r="O18" s="47"/>
      <c r="P18" s="47"/>
      <c r="Q18" s="48"/>
      <c r="R18" s="46"/>
      <c r="S18" s="47"/>
      <c r="T18" s="47"/>
      <c r="U18" s="47"/>
      <c r="V18" s="48"/>
    </row>
    <row r="19" spans="1:22" ht="13.2" x14ac:dyDescent="0.25">
      <c r="A19" s="27" t="s">
        <v>27</v>
      </c>
      <c r="B19" s="28"/>
      <c r="C19" s="40"/>
      <c r="D19" s="59"/>
      <c r="E19" s="59"/>
      <c r="F19" s="59"/>
      <c r="G19" s="42"/>
      <c r="H19" s="43"/>
      <c r="I19" s="44"/>
      <c r="J19" s="44"/>
      <c r="K19" s="44"/>
      <c r="L19" s="45"/>
      <c r="N19" s="46"/>
      <c r="O19" s="47"/>
      <c r="P19" s="47"/>
      <c r="Q19" s="48"/>
      <c r="R19" s="46"/>
      <c r="S19" s="47"/>
      <c r="T19" s="47"/>
      <c r="U19" s="47"/>
      <c r="V19" s="48"/>
    </row>
    <row r="20" spans="1:22" ht="13.2" x14ac:dyDescent="0.25">
      <c r="A20" s="30" t="s">
        <v>28</v>
      </c>
      <c r="B20" s="18"/>
      <c r="C20" s="40">
        <v>1358174.7300000002</v>
      </c>
      <c r="D20" s="58">
        <v>1391508.1199999994</v>
      </c>
      <c r="E20" s="58">
        <v>1377180.36</v>
      </c>
      <c r="F20" s="58">
        <v>1400942.4400000002</v>
      </c>
      <c r="G20" s="42">
        <v>1535735</v>
      </c>
      <c r="H20" s="43">
        <v>1908690.070000001</v>
      </c>
      <c r="I20" s="44">
        <v>1963322.71</v>
      </c>
      <c r="J20" s="44">
        <v>2024405.9371000004</v>
      </c>
      <c r="K20" s="44">
        <v>2091149.9964710004</v>
      </c>
      <c r="L20" s="45">
        <v>2112061.4964357093</v>
      </c>
      <c r="N20" s="46">
        <f t="shared" si="5"/>
        <v>2.4542784712243249E-2</v>
      </c>
      <c r="O20" s="47">
        <f t="shared" si="5"/>
        <v>-1.0296569451566873E-2</v>
      </c>
      <c r="P20" s="47">
        <f t="shared" si="5"/>
        <v>1.7254152535256972E-2</v>
      </c>
      <c r="Q20" s="48">
        <f t="shared" si="5"/>
        <v>9.6215630386641493E-2</v>
      </c>
      <c r="R20" s="46">
        <f t="shared" si="5"/>
        <v>0.24285118851885312</v>
      </c>
      <c r="S20" s="47">
        <f t="shared" si="5"/>
        <v>2.8623106945801391E-2</v>
      </c>
      <c r="T20" s="47">
        <f t="shared" si="5"/>
        <v>3.1112168564484399E-2</v>
      </c>
      <c r="U20" s="47">
        <f t="shared" si="5"/>
        <v>3.2969701455535239E-2</v>
      </c>
      <c r="V20" s="48">
        <f t="shared" si="5"/>
        <v>9.9999999999995648E-3</v>
      </c>
    </row>
    <row r="21" spans="1:22" ht="13.2" x14ac:dyDescent="0.25">
      <c r="A21" s="30" t="s">
        <v>29</v>
      </c>
      <c r="B21" s="18"/>
      <c r="C21" s="40">
        <v>350532.52000000008</v>
      </c>
      <c r="D21" s="58">
        <v>370859.18</v>
      </c>
      <c r="E21" s="58">
        <v>309100.01</v>
      </c>
      <c r="F21" s="58">
        <v>353911.82000000012</v>
      </c>
      <c r="G21" s="42">
        <v>370423</v>
      </c>
      <c r="H21" s="43">
        <v>485797.47913833335</v>
      </c>
      <c r="I21" s="44">
        <v>497833.358695</v>
      </c>
      <c r="J21" s="44">
        <v>502811.69228195009</v>
      </c>
      <c r="K21" s="44">
        <v>507839.80920476955</v>
      </c>
      <c r="L21" s="45">
        <v>512918.20729681727</v>
      </c>
      <c r="N21" s="46">
        <f t="shared" si="5"/>
        <v>5.7987943600781744E-2</v>
      </c>
      <c r="O21" s="47">
        <f t="shared" si="5"/>
        <v>-0.16652997507032175</v>
      </c>
      <c r="P21" s="47">
        <f t="shared" si="5"/>
        <v>0.14497511662972817</v>
      </c>
      <c r="Q21" s="48">
        <f t="shared" si="5"/>
        <v>4.665337258303448E-2</v>
      </c>
      <c r="R21" s="46">
        <f t="shared" si="5"/>
        <v>0.31146683423635513</v>
      </c>
      <c r="S21" s="47">
        <f t="shared" si="5"/>
        <v>2.4775508464998319E-2</v>
      </c>
      <c r="T21" s="47">
        <f t="shared" si="5"/>
        <v>1.0000000000000231E-2</v>
      </c>
      <c r="U21" s="47">
        <f t="shared" si="5"/>
        <v>1.0000000000000009E-2</v>
      </c>
      <c r="V21" s="48">
        <f t="shared" si="5"/>
        <v>1.0000000000000009E-2</v>
      </c>
    </row>
    <row r="22" spans="1:22" ht="13.2" x14ac:dyDescent="0.25">
      <c r="A22" s="30" t="s">
        <v>30</v>
      </c>
      <c r="B22" s="18"/>
      <c r="C22" s="40">
        <v>781938.35999999987</v>
      </c>
      <c r="D22" s="58">
        <v>878379.87</v>
      </c>
      <c r="E22" s="58">
        <v>927382.8</v>
      </c>
      <c r="F22" s="58">
        <v>946559.69</v>
      </c>
      <c r="G22" s="42">
        <v>970487</v>
      </c>
      <c r="H22" s="43">
        <v>1386799.9999999998</v>
      </c>
      <c r="I22" s="44">
        <v>1200432.0776</v>
      </c>
      <c r="J22" s="44">
        <v>1190813.884752</v>
      </c>
      <c r="K22" s="44">
        <v>1176816.0852470396</v>
      </c>
      <c r="L22" s="45">
        <v>1198855.5725519806</v>
      </c>
      <c r="N22" s="46">
        <f t="shared" si="5"/>
        <v>0.12333646094559181</v>
      </c>
      <c r="O22" s="47">
        <f t="shared" si="5"/>
        <v>5.5787856340560271E-2</v>
      </c>
      <c r="P22" s="47">
        <f t="shared" si="5"/>
        <v>2.0678505143722603E-2</v>
      </c>
      <c r="Q22" s="48">
        <f t="shared" si="5"/>
        <v>2.5278183988587166E-2</v>
      </c>
      <c r="R22" s="46">
        <f t="shared" si="5"/>
        <v>0.42897328866847229</v>
      </c>
      <c r="S22" s="47">
        <f t="shared" si="5"/>
        <v>-0.1343870222094028</v>
      </c>
      <c r="T22" s="47">
        <f t="shared" si="5"/>
        <v>-8.0122757692625557E-3</v>
      </c>
      <c r="U22" s="47">
        <f t="shared" si="5"/>
        <v>-1.1754817175209209E-2</v>
      </c>
      <c r="V22" s="48">
        <f t="shared" si="5"/>
        <v>1.87280642924883E-2</v>
      </c>
    </row>
    <row r="23" spans="1:22" ht="13.2" x14ac:dyDescent="0.25">
      <c r="A23" s="30" t="s">
        <v>31</v>
      </c>
      <c r="B23" s="18"/>
      <c r="C23" s="40">
        <v>80544.66</v>
      </c>
      <c r="D23" s="58">
        <v>89138.159999999989</v>
      </c>
      <c r="E23" s="58">
        <v>252773.54</v>
      </c>
      <c r="F23" s="58">
        <v>213366.43</v>
      </c>
      <c r="G23" s="42">
        <v>151988</v>
      </c>
      <c r="H23" s="43">
        <v>210345.89</v>
      </c>
      <c r="I23" s="44">
        <v>241238.22240000003</v>
      </c>
      <c r="J23" s="44">
        <v>218012.98684800006</v>
      </c>
      <c r="K23" s="44">
        <v>222373.24658496</v>
      </c>
      <c r="L23" s="45">
        <v>226820.71151665921</v>
      </c>
      <c r="N23" s="46">
        <f t="shared" si="5"/>
        <v>0.10669236172826335</v>
      </c>
      <c r="O23" s="47">
        <f t="shared" si="5"/>
        <v>1.8357500311875414</v>
      </c>
      <c r="P23" s="47">
        <f t="shared" si="5"/>
        <v>-0.15589887295956695</v>
      </c>
      <c r="Q23" s="48">
        <f t="shared" si="5"/>
        <v>-0.28766676182377893</v>
      </c>
      <c r="R23" s="46">
        <f t="shared" si="5"/>
        <v>0.38396379977366646</v>
      </c>
      <c r="S23" s="47">
        <f t="shared" si="5"/>
        <v>0.1468644450338441</v>
      </c>
      <c r="T23" s="47">
        <f t="shared" si="5"/>
        <v>-9.6275106494069229E-2</v>
      </c>
      <c r="U23" s="47">
        <f t="shared" si="5"/>
        <v>1.9999999999999796E-2</v>
      </c>
      <c r="V23" s="48">
        <f t="shared" si="5"/>
        <v>2.0000000000000018E-2</v>
      </c>
    </row>
    <row r="24" spans="1:22" ht="13.2" x14ac:dyDescent="0.25">
      <c r="A24" s="30" t="s">
        <v>32</v>
      </c>
      <c r="B24" s="18"/>
      <c r="C24" s="40">
        <v>113943.91</v>
      </c>
      <c r="D24" s="58">
        <v>0</v>
      </c>
      <c r="E24" s="58">
        <v>271167.84999999998</v>
      </c>
      <c r="F24" s="58">
        <v>0</v>
      </c>
      <c r="G24" s="42">
        <v>0</v>
      </c>
      <c r="H24" s="43">
        <v>0</v>
      </c>
      <c r="I24" s="44">
        <v>0</v>
      </c>
      <c r="J24" s="44">
        <v>0</v>
      </c>
      <c r="K24" s="44">
        <v>0</v>
      </c>
      <c r="L24" s="45">
        <v>0</v>
      </c>
      <c r="N24" s="46"/>
      <c r="O24" s="47"/>
      <c r="P24" s="47"/>
      <c r="Q24" s="48"/>
      <c r="R24" s="46"/>
      <c r="S24" s="47"/>
      <c r="T24" s="47"/>
      <c r="U24" s="47"/>
      <c r="V24" s="48"/>
    </row>
    <row r="25" spans="1:22" ht="13.2" x14ac:dyDescent="0.25">
      <c r="A25" s="30" t="s">
        <v>33</v>
      </c>
      <c r="B25" s="18"/>
      <c r="C25" s="40">
        <v>0</v>
      </c>
      <c r="D25" s="58">
        <v>0</v>
      </c>
      <c r="E25" s="58">
        <v>0</v>
      </c>
      <c r="F25" s="58">
        <v>0</v>
      </c>
      <c r="G25" s="42">
        <v>0</v>
      </c>
      <c r="H25" s="43">
        <v>0</v>
      </c>
      <c r="I25" s="44">
        <v>0</v>
      </c>
      <c r="J25" s="44">
        <v>0</v>
      </c>
      <c r="K25" s="44">
        <v>0</v>
      </c>
      <c r="L25" s="45">
        <v>0</v>
      </c>
      <c r="N25" s="46"/>
      <c r="O25" s="47"/>
      <c r="P25" s="47"/>
      <c r="Q25" s="48"/>
      <c r="R25" s="46"/>
      <c r="S25" s="47"/>
      <c r="T25" s="47"/>
      <c r="U25" s="47"/>
      <c r="V25" s="48"/>
    </row>
    <row r="26" spans="1:22" ht="13.2" x14ac:dyDescent="0.25">
      <c r="A26" s="30" t="s">
        <v>34</v>
      </c>
      <c r="B26" s="18"/>
      <c r="C26" s="40">
        <v>32347.31</v>
      </c>
      <c r="D26" s="58">
        <v>26045.829999999998</v>
      </c>
      <c r="E26" s="58">
        <v>38582.339999999997</v>
      </c>
      <c r="F26" s="58">
        <v>43708.630000000005</v>
      </c>
      <c r="G26" s="42">
        <v>147819</v>
      </c>
      <c r="H26" s="43">
        <v>75207.960000000006</v>
      </c>
      <c r="I26" s="44">
        <v>49308.813499999997</v>
      </c>
      <c r="J26" s="44">
        <v>50294.989770000007</v>
      </c>
      <c r="K26" s="44">
        <v>51300.889565400008</v>
      </c>
      <c r="L26" s="45">
        <v>52326.907356708005</v>
      </c>
      <c r="N26" s="46">
        <f t="shared" si="5"/>
        <v>-0.19480692521263754</v>
      </c>
      <c r="O26" s="47">
        <f t="shared" si="5"/>
        <v>0.48132503360422763</v>
      </c>
      <c r="P26" s="47">
        <f t="shared" si="5"/>
        <v>0.13286622843508211</v>
      </c>
      <c r="Q26" s="48">
        <f t="shared" si="5"/>
        <v>2.381917941605582</v>
      </c>
      <c r="R26" s="46">
        <f t="shared" si="5"/>
        <v>-0.49121587887889917</v>
      </c>
      <c r="S26" s="47">
        <f t="shared" si="5"/>
        <v>-0.34436709225991513</v>
      </c>
      <c r="T26" s="47">
        <f t="shared" si="5"/>
        <v>2.000000000000024E-2</v>
      </c>
      <c r="U26" s="47">
        <f t="shared" si="5"/>
        <v>2.0000000000000018E-2</v>
      </c>
      <c r="V26" s="48">
        <f t="shared" si="5"/>
        <v>2.0000000000000018E-2</v>
      </c>
    </row>
    <row r="27" spans="1:22" ht="13.2" x14ac:dyDescent="0.25">
      <c r="A27" s="30" t="s">
        <v>35</v>
      </c>
      <c r="B27" s="18"/>
      <c r="C27" s="40">
        <v>0</v>
      </c>
      <c r="D27" s="58">
        <v>0</v>
      </c>
      <c r="E27" s="58">
        <v>0</v>
      </c>
      <c r="F27" s="58">
        <v>0</v>
      </c>
      <c r="G27" s="42"/>
      <c r="H27" s="43"/>
      <c r="I27" s="44"/>
      <c r="J27" s="44"/>
      <c r="K27" s="44"/>
      <c r="L27" s="45"/>
      <c r="N27" s="46"/>
      <c r="O27" s="47"/>
      <c r="P27" s="47"/>
      <c r="Q27" s="48"/>
      <c r="R27" s="46"/>
      <c r="S27" s="47"/>
      <c r="T27" s="47"/>
      <c r="U27" s="47"/>
      <c r="V27" s="48"/>
    </row>
    <row r="28" spans="1:22" ht="13.2" x14ac:dyDescent="0.25">
      <c r="A28" s="49" t="s">
        <v>36</v>
      </c>
      <c r="B28" s="50"/>
      <c r="C28" s="51">
        <f>SUM(C20:C27)</f>
        <v>2717481.4900000007</v>
      </c>
      <c r="D28" s="52">
        <f>SUM(D20:D27)</f>
        <v>2755931.1599999997</v>
      </c>
      <c r="E28" s="52">
        <f t="shared" ref="E28:F28" si="8">SUM(E20:E27)</f>
        <v>3176186.9</v>
      </c>
      <c r="F28" s="52">
        <f t="shared" si="8"/>
        <v>2958489.0100000002</v>
      </c>
      <c r="G28" s="53">
        <f>SUM(G20:G27)</f>
        <v>3176452</v>
      </c>
      <c r="H28" s="51">
        <f>SUM(H20:H27)</f>
        <v>4066841.3991383347</v>
      </c>
      <c r="I28" s="52">
        <f>SUM(I20:I27)</f>
        <v>3952135.1821949999</v>
      </c>
      <c r="J28" s="52">
        <f t="shared" ref="J28:K28" si="9">SUM(J20:J27)</f>
        <v>3986339.4907519505</v>
      </c>
      <c r="K28" s="52">
        <f t="shared" si="9"/>
        <v>4049480.0270731696</v>
      </c>
      <c r="L28" s="53">
        <f>SUM(L20:L27)</f>
        <v>4102982.8951578741</v>
      </c>
      <c r="N28" s="54">
        <f t="shared" si="5"/>
        <v>1.4149008978161959E-2</v>
      </c>
      <c r="O28" s="55">
        <f t="shared" si="5"/>
        <v>0.15249137790509981</v>
      </c>
      <c r="P28" s="55">
        <f t="shared" si="5"/>
        <v>-6.8540642239913407E-2</v>
      </c>
      <c r="Q28" s="56">
        <f t="shared" si="5"/>
        <v>7.3673753481342086E-2</v>
      </c>
      <c r="R28" s="54">
        <f t="shared" si="5"/>
        <v>0.2803094141319733</v>
      </c>
      <c r="S28" s="55">
        <f t="shared" si="5"/>
        <v>-2.8205234894982167E-2</v>
      </c>
      <c r="T28" s="55">
        <f t="shared" si="5"/>
        <v>8.6546403349374579E-3</v>
      </c>
      <c r="U28" s="55">
        <f t="shared" si="5"/>
        <v>1.5839227057229177E-2</v>
      </c>
      <c r="V28" s="56">
        <f t="shared" si="5"/>
        <v>1.32122810155888E-2</v>
      </c>
    </row>
    <row r="29" spans="1:22" ht="13.2" x14ac:dyDescent="0.25">
      <c r="A29" s="30"/>
      <c r="B29" s="18"/>
      <c r="C29" s="40"/>
      <c r="D29" s="58"/>
      <c r="E29" s="58"/>
      <c r="F29" s="58"/>
      <c r="G29" s="42"/>
      <c r="H29" s="43"/>
      <c r="I29" s="44"/>
      <c r="J29" s="44"/>
      <c r="K29" s="44"/>
      <c r="L29" s="45"/>
      <c r="N29" s="46"/>
      <c r="O29" s="47"/>
      <c r="P29" s="47"/>
      <c r="Q29" s="48"/>
      <c r="R29" s="46"/>
      <c r="S29" s="47"/>
      <c r="T29" s="47"/>
      <c r="U29" s="47"/>
      <c r="V29" s="48"/>
    </row>
    <row r="30" spans="1:22" ht="13.2" x14ac:dyDescent="0.25">
      <c r="A30" s="30" t="s">
        <v>37</v>
      </c>
      <c r="B30" s="18"/>
      <c r="C30" s="40"/>
      <c r="D30" s="58"/>
      <c r="E30" s="58"/>
      <c r="F30" s="58"/>
      <c r="G30" s="42"/>
      <c r="H30" s="43"/>
      <c r="I30" s="44"/>
      <c r="J30" s="44"/>
      <c r="K30" s="44"/>
      <c r="L30" s="45"/>
      <c r="N30" s="46"/>
      <c r="O30" s="47"/>
      <c r="P30" s="47"/>
      <c r="Q30" s="48"/>
      <c r="R30" s="46"/>
      <c r="S30" s="47"/>
      <c r="T30" s="47"/>
      <c r="U30" s="47"/>
      <c r="V30" s="48"/>
    </row>
    <row r="31" spans="1:22" ht="13.2" x14ac:dyDescent="0.25">
      <c r="A31" s="60" t="s">
        <v>27</v>
      </c>
      <c r="B31" s="18"/>
      <c r="C31" s="61">
        <f t="shared" ref="C31:D31" si="10">+C17-C28</f>
        <v>-659045.52000000072</v>
      </c>
      <c r="D31" s="62">
        <f t="shared" si="10"/>
        <v>-291074.39999999991</v>
      </c>
      <c r="E31" s="62">
        <f>+E17-E28</f>
        <v>-619691.06000000006</v>
      </c>
      <c r="F31" s="62">
        <f>+F17-F28</f>
        <v>-516380.50000000047</v>
      </c>
      <c r="G31" s="63">
        <f>+G17-G28</f>
        <v>-792709</v>
      </c>
      <c r="H31" s="61">
        <f t="shared" ref="H31:L31" si="11">+H17-H28</f>
        <v>-655254.2329237801</v>
      </c>
      <c r="I31" s="62">
        <f t="shared" si="11"/>
        <v>-315293.31156284641</v>
      </c>
      <c r="J31" s="62">
        <f t="shared" si="11"/>
        <v>-693360.04644254129</v>
      </c>
      <c r="K31" s="62">
        <f t="shared" si="11"/>
        <v>-598794.16811348824</v>
      </c>
      <c r="L31" s="63">
        <f t="shared" si="11"/>
        <v>-532894.89602836082</v>
      </c>
      <c r="N31" s="64">
        <f t="shared" si="5"/>
        <v>-0.55833946037596982</v>
      </c>
      <c r="O31" s="65">
        <f t="shared" si="5"/>
        <v>1.1289782268725803</v>
      </c>
      <c r="P31" s="65">
        <f t="shared" si="5"/>
        <v>-0.16671300696188773</v>
      </c>
      <c r="Q31" s="66">
        <f t="shared" si="5"/>
        <v>0.53512574545320613</v>
      </c>
      <c r="R31" s="64">
        <f t="shared" si="5"/>
        <v>-0.17339877190270314</v>
      </c>
      <c r="S31" s="65">
        <f t="shared" si="5"/>
        <v>-0.51882293051966943</v>
      </c>
      <c r="T31" s="65">
        <f t="shared" si="5"/>
        <v>1.1990953217678264</v>
      </c>
      <c r="U31" s="65">
        <f t="shared" si="5"/>
        <v>-0.13638783892185191</v>
      </c>
      <c r="V31" s="66">
        <f t="shared" si="5"/>
        <v>-0.11005329643196804</v>
      </c>
    </row>
    <row r="32" spans="1:22" ht="13.2" x14ac:dyDescent="0.25">
      <c r="A32" s="30"/>
      <c r="B32" s="18"/>
      <c r="C32" s="40"/>
      <c r="D32" s="58"/>
      <c r="E32" s="58"/>
      <c r="F32" s="58"/>
      <c r="G32" s="42"/>
      <c r="H32" s="43"/>
      <c r="I32" s="44"/>
      <c r="J32" s="44"/>
      <c r="K32" s="44"/>
      <c r="L32" s="45"/>
      <c r="N32" s="46"/>
      <c r="O32" s="47"/>
      <c r="P32" s="47"/>
      <c r="Q32" s="48"/>
      <c r="R32" s="46"/>
      <c r="S32" s="47"/>
      <c r="T32" s="47"/>
      <c r="U32" s="47"/>
      <c r="V32" s="48"/>
    </row>
    <row r="33" spans="1:22" ht="13.2" x14ac:dyDescent="0.25">
      <c r="A33" s="27" t="s">
        <v>38</v>
      </c>
      <c r="B33" s="28"/>
      <c r="C33" s="40"/>
      <c r="D33" s="58"/>
      <c r="E33" s="58"/>
      <c r="F33" s="58"/>
      <c r="G33" s="42"/>
      <c r="H33" s="43"/>
      <c r="I33" s="44"/>
      <c r="J33" s="44"/>
      <c r="K33" s="44"/>
      <c r="L33" s="45"/>
      <c r="N33" s="46"/>
      <c r="O33" s="47"/>
      <c r="P33" s="47"/>
      <c r="Q33" s="48"/>
      <c r="R33" s="46"/>
      <c r="S33" s="47"/>
      <c r="T33" s="47"/>
      <c r="U33" s="47"/>
      <c r="V33" s="48"/>
    </row>
    <row r="34" spans="1:22" ht="13.2" x14ac:dyDescent="0.25">
      <c r="A34" s="30" t="s">
        <v>39</v>
      </c>
      <c r="B34" s="18"/>
      <c r="C34" s="40">
        <v>282830.63</v>
      </c>
      <c r="D34" s="41">
        <v>277239.49</v>
      </c>
      <c r="E34" s="41">
        <v>554659.32000000007</v>
      </c>
      <c r="F34" s="41">
        <v>865111.13</v>
      </c>
      <c r="G34" s="42">
        <v>1302704</v>
      </c>
      <c r="H34" s="43">
        <v>875410.56</v>
      </c>
      <c r="I34" s="44">
        <v>155696</v>
      </c>
      <c r="J34" s="44">
        <v>166917.33333333331</v>
      </c>
      <c r="K34" s="44">
        <v>173930.66666666666</v>
      </c>
      <c r="L34" s="45">
        <v>178840</v>
      </c>
      <c r="N34" s="46">
        <f t="shared" si="5"/>
        <v>-1.9768509513980237E-2</v>
      </c>
      <c r="O34" s="47">
        <f t="shared" si="5"/>
        <v>1.0006504845323447</v>
      </c>
      <c r="P34" s="47">
        <f t="shared" si="5"/>
        <v>0.5597162056160887</v>
      </c>
      <c r="Q34" s="48">
        <f t="shared" si="5"/>
        <v>0.50582272591961686</v>
      </c>
      <c r="R34" s="46">
        <f t="shared" si="5"/>
        <v>-0.32800501111534164</v>
      </c>
      <c r="S34" s="47">
        <f t="shared" si="5"/>
        <v>-0.82214516580654451</v>
      </c>
      <c r="T34" s="47">
        <f t="shared" si="5"/>
        <v>7.2072072072072002E-2</v>
      </c>
      <c r="U34" s="47">
        <f t="shared" si="5"/>
        <v>4.2016806722689148E-2</v>
      </c>
      <c r="V34" s="48">
        <f t="shared" si="5"/>
        <v>2.8225806451612989E-2</v>
      </c>
    </row>
    <row r="35" spans="1:22" ht="13.2" x14ac:dyDescent="0.25">
      <c r="A35" s="30" t="s">
        <v>40</v>
      </c>
      <c r="B35" s="18"/>
      <c r="C35" s="40">
        <v>5247.89</v>
      </c>
      <c r="D35" s="41">
        <v>6853.38</v>
      </c>
      <c r="E35" s="41">
        <v>3718.8599999999997</v>
      </c>
      <c r="F35" s="41">
        <v>2533.91</v>
      </c>
      <c r="G35" s="42">
        <v>0</v>
      </c>
      <c r="H35" s="43">
        <v>0</v>
      </c>
      <c r="I35" s="44">
        <v>0</v>
      </c>
      <c r="J35" s="44">
        <v>0</v>
      </c>
      <c r="K35" s="44">
        <v>0</v>
      </c>
      <c r="L35" s="45">
        <v>0</v>
      </c>
      <c r="N35" s="46"/>
      <c r="O35" s="47"/>
      <c r="P35" s="47"/>
      <c r="Q35" s="48"/>
      <c r="R35" s="46"/>
      <c r="S35" s="47"/>
      <c r="T35" s="47"/>
      <c r="U35" s="47"/>
      <c r="V35" s="48"/>
    </row>
    <row r="36" spans="1:22" ht="13.2" x14ac:dyDescent="0.25">
      <c r="A36" s="30" t="s">
        <v>41</v>
      </c>
      <c r="B36" s="18"/>
      <c r="C36" s="40">
        <v>0</v>
      </c>
      <c r="D36" s="41">
        <v>0</v>
      </c>
      <c r="E36" s="41">
        <v>0</v>
      </c>
      <c r="F36" s="41">
        <v>0</v>
      </c>
      <c r="G36" s="42">
        <v>0</v>
      </c>
      <c r="H36" s="43">
        <v>0</v>
      </c>
      <c r="I36" s="44">
        <v>0</v>
      </c>
      <c r="J36" s="44">
        <v>0</v>
      </c>
      <c r="K36" s="44">
        <v>0</v>
      </c>
      <c r="L36" s="45">
        <v>0</v>
      </c>
      <c r="N36" s="46"/>
      <c r="O36" s="47"/>
      <c r="P36" s="47"/>
      <c r="Q36" s="48"/>
      <c r="R36" s="46"/>
      <c r="S36" s="47"/>
      <c r="T36" s="47"/>
      <c r="U36" s="47"/>
      <c r="V36" s="48"/>
    </row>
    <row r="37" spans="1:22" ht="13.2" x14ac:dyDescent="0.25">
      <c r="A37" s="30" t="s">
        <v>42</v>
      </c>
      <c r="B37" s="18"/>
      <c r="C37" s="40">
        <v>355856.61</v>
      </c>
      <c r="D37" s="41">
        <v>174631.67999999999</v>
      </c>
      <c r="E37" s="41">
        <v>80460.850000000006</v>
      </c>
      <c r="F37" s="41">
        <v>7391.89</v>
      </c>
      <c r="G37" s="42">
        <v>10269</v>
      </c>
      <c r="H37" s="43">
        <v>0</v>
      </c>
      <c r="I37" s="44">
        <v>0</v>
      </c>
      <c r="J37" s="44">
        <v>0</v>
      </c>
      <c r="K37" s="44">
        <v>0</v>
      </c>
      <c r="L37" s="45">
        <v>0</v>
      </c>
      <c r="N37" s="46"/>
      <c r="O37" s="47"/>
      <c r="P37" s="47"/>
      <c r="Q37" s="48"/>
      <c r="R37" s="46"/>
      <c r="S37" s="47"/>
      <c r="T37" s="47"/>
      <c r="U37" s="47"/>
      <c r="V37" s="48"/>
    </row>
    <row r="38" spans="1:22" ht="13.2" x14ac:dyDescent="0.25">
      <c r="A38" s="30" t="s">
        <v>43</v>
      </c>
      <c r="B38" s="18"/>
      <c r="C38" s="40">
        <v>0</v>
      </c>
      <c r="D38" s="41">
        <v>0</v>
      </c>
      <c r="E38" s="41">
        <v>19.010000000000002</v>
      </c>
      <c r="F38" s="41">
        <v>604.66999999999996</v>
      </c>
      <c r="G38" s="42">
        <v>48500</v>
      </c>
      <c r="H38" s="43">
        <v>0</v>
      </c>
      <c r="I38" s="44">
        <v>0</v>
      </c>
      <c r="J38" s="44">
        <v>0</v>
      </c>
      <c r="K38" s="44">
        <v>0</v>
      </c>
      <c r="L38" s="45">
        <v>0</v>
      </c>
      <c r="N38" s="46"/>
      <c r="O38" s="47"/>
      <c r="P38" s="47"/>
      <c r="Q38" s="48"/>
      <c r="R38" s="46"/>
      <c r="S38" s="47"/>
      <c r="T38" s="47"/>
      <c r="U38" s="47"/>
      <c r="V38" s="48"/>
    </row>
    <row r="39" spans="1:22" ht="13.2" x14ac:dyDescent="0.25">
      <c r="A39" s="30" t="s">
        <v>44</v>
      </c>
      <c r="B39" s="18"/>
      <c r="C39" s="40">
        <v>0</v>
      </c>
      <c r="D39" s="58">
        <v>424455</v>
      </c>
      <c r="E39" s="58">
        <v>0</v>
      </c>
      <c r="F39" s="58">
        <v>0</v>
      </c>
      <c r="G39" s="42">
        <v>0</v>
      </c>
      <c r="H39" s="43">
        <v>0</v>
      </c>
      <c r="I39" s="44">
        <v>0</v>
      </c>
      <c r="J39" s="44">
        <v>0</v>
      </c>
      <c r="K39" s="44">
        <v>0</v>
      </c>
      <c r="L39" s="45">
        <v>0</v>
      </c>
      <c r="N39" s="46"/>
      <c r="O39" s="47"/>
      <c r="P39" s="47"/>
      <c r="Q39" s="48"/>
      <c r="R39" s="46"/>
      <c r="S39" s="47"/>
      <c r="T39" s="47"/>
      <c r="U39" s="47"/>
      <c r="V39" s="48"/>
    </row>
    <row r="40" spans="1:22" ht="13.2" x14ac:dyDescent="0.25">
      <c r="A40" s="30" t="s">
        <v>45</v>
      </c>
      <c r="B40" s="18"/>
      <c r="C40" s="40">
        <v>0</v>
      </c>
      <c r="D40" s="58">
        <v>0</v>
      </c>
      <c r="E40" s="58">
        <v>0</v>
      </c>
      <c r="F40" s="58">
        <v>-31945.200000000001</v>
      </c>
      <c r="G40" s="42">
        <v>-37954</v>
      </c>
      <c r="H40" s="43">
        <v>0</v>
      </c>
      <c r="I40" s="44">
        <v>0</v>
      </c>
      <c r="J40" s="44">
        <v>0</v>
      </c>
      <c r="K40" s="44">
        <v>0</v>
      </c>
      <c r="L40" s="45">
        <v>0</v>
      </c>
      <c r="N40" s="46"/>
      <c r="O40" s="47"/>
      <c r="P40" s="47"/>
      <c r="Q40" s="48"/>
      <c r="R40" s="46"/>
      <c r="S40" s="47"/>
      <c r="T40" s="47"/>
      <c r="U40" s="47"/>
      <c r="V40" s="48"/>
    </row>
    <row r="41" spans="1:22" ht="13.2" x14ac:dyDescent="0.25">
      <c r="A41" s="30" t="s">
        <v>46</v>
      </c>
      <c r="B41" s="18"/>
      <c r="C41" s="40">
        <v>0</v>
      </c>
      <c r="D41" s="58">
        <v>0</v>
      </c>
      <c r="E41" s="58">
        <v>0</v>
      </c>
      <c r="F41" s="58">
        <v>-42896.520000000004</v>
      </c>
      <c r="G41" s="42">
        <v>-41496</v>
      </c>
      <c r="H41" s="43">
        <v>0</v>
      </c>
      <c r="I41" s="44">
        <v>0</v>
      </c>
      <c r="J41" s="44">
        <v>0</v>
      </c>
      <c r="K41" s="44">
        <v>0</v>
      </c>
      <c r="L41" s="45">
        <v>0</v>
      </c>
      <c r="N41" s="46"/>
      <c r="O41" s="47"/>
      <c r="P41" s="47"/>
      <c r="Q41" s="48"/>
      <c r="R41" s="46"/>
      <c r="S41" s="47"/>
      <c r="T41" s="47"/>
      <c r="U41" s="47"/>
      <c r="V41" s="48"/>
    </row>
    <row r="42" spans="1:22" ht="13.2" x14ac:dyDescent="0.25">
      <c r="A42" s="30" t="s">
        <v>47</v>
      </c>
      <c r="B42" s="18"/>
      <c r="C42" s="40">
        <v>0</v>
      </c>
      <c r="D42" s="58">
        <v>0</v>
      </c>
      <c r="E42" s="58">
        <v>0</v>
      </c>
      <c r="F42" s="58">
        <v>0</v>
      </c>
      <c r="G42" s="42">
        <v>0</v>
      </c>
      <c r="H42" s="43">
        <v>0</v>
      </c>
      <c r="I42" s="44">
        <v>0</v>
      </c>
      <c r="J42" s="44">
        <v>0</v>
      </c>
      <c r="K42" s="44">
        <v>0</v>
      </c>
      <c r="L42" s="45">
        <v>0</v>
      </c>
      <c r="N42" s="46"/>
      <c r="O42" s="47"/>
      <c r="P42" s="47"/>
      <c r="Q42" s="48"/>
      <c r="R42" s="46"/>
      <c r="S42" s="47"/>
      <c r="T42" s="47"/>
      <c r="U42" s="47"/>
      <c r="V42" s="48"/>
    </row>
    <row r="43" spans="1:22" ht="13.2" x14ac:dyDescent="0.25">
      <c r="A43" s="30" t="s">
        <v>48</v>
      </c>
      <c r="B43" s="18"/>
      <c r="C43" s="40">
        <v>0</v>
      </c>
      <c r="D43" s="58">
        <v>0</v>
      </c>
      <c r="E43" s="58">
        <v>0</v>
      </c>
      <c r="F43" s="58">
        <v>0</v>
      </c>
      <c r="G43" s="42">
        <v>0</v>
      </c>
      <c r="H43" s="67">
        <v>0</v>
      </c>
      <c r="I43" s="68">
        <v>0</v>
      </c>
      <c r="J43" s="68">
        <v>0</v>
      </c>
      <c r="K43" s="68">
        <v>0</v>
      </c>
      <c r="L43" s="69">
        <v>0</v>
      </c>
      <c r="N43" s="46"/>
      <c r="O43" s="47"/>
      <c r="P43" s="47"/>
      <c r="Q43" s="48"/>
      <c r="R43" s="46"/>
      <c r="S43" s="47"/>
      <c r="T43" s="47"/>
      <c r="U43" s="47"/>
      <c r="V43" s="48"/>
    </row>
    <row r="44" spans="1:22" ht="13.2" x14ac:dyDescent="0.25">
      <c r="A44" s="49" t="s">
        <v>49</v>
      </c>
      <c r="B44" s="18"/>
      <c r="C44" s="51">
        <f>SUM(C34:C43)</f>
        <v>643935.13</v>
      </c>
      <c r="D44" s="52">
        <f>SUM(D34:D43)</f>
        <v>883179.55</v>
      </c>
      <c r="E44" s="52">
        <f t="shared" ref="E44:F44" si="12">SUM(E34:E43)</f>
        <v>638858.04</v>
      </c>
      <c r="F44" s="52">
        <f t="shared" si="12"/>
        <v>800799.88000000012</v>
      </c>
      <c r="G44" s="53">
        <f>SUM(G34:G43)</f>
        <v>1282023</v>
      </c>
      <c r="H44" s="51">
        <f>SUM(H34:H43)</f>
        <v>875410.56</v>
      </c>
      <c r="I44" s="52">
        <f>SUM(I34:I43)</f>
        <v>155696</v>
      </c>
      <c r="J44" s="52">
        <f t="shared" ref="J44:K44" si="13">SUM(J34:J43)</f>
        <v>166917.33333333331</v>
      </c>
      <c r="K44" s="52">
        <f t="shared" si="13"/>
        <v>173930.66666666666</v>
      </c>
      <c r="L44" s="53">
        <f>SUM(L34:L43)</f>
        <v>178840</v>
      </c>
      <c r="N44" s="54">
        <f t="shared" si="5"/>
        <v>0.37153497123227308</v>
      </c>
      <c r="O44" s="55">
        <f t="shared" si="5"/>
        <v>-0.27663854988490166</v>
      </c>
      <c r="P44" s="55">
        <f t="shared" si="5"/>
        <v>0.25348642399491461</v>
      </c>
      <c r="Q44" s="56">
        <f t="shared" si="5"/>
        <v>0.60092806207713201</v>
      </c>
      <c r="R44" s="54">
        <f t="shared" si="5"/>
        <v>-0.31716469985327866</v>
      </c>
      <c r="S44" s="55">
        <f t="shared" si="5"/>
        <v>-0.82214516580654451</v>
      </c>
      <c r="T44" s="55">
        <f t="shared" si="5"/>
        <v>7.2072072072072002E-2</v>
      </c>
      <c r="U44" s="55">
        <f t="shared" si="5"/>
        <v>4.2016806722689148E-2</v>
      </c>
      <c r="V44" s="56">
        <f t="shared" si="5"/>
        <v>2.8225806451612989E-2</v>
      </c>
    </row>
    <row r="45" spans="1:22" ht="13.2" x14ac:dyDescent="0.25">
      <c r="A45" s="30"/>
      <c r="B45" s="18"/>
      <c r="C45" s="70"/>
      <c r="D45" s="71"/>
      <c r="E45" s="71"/>
      <c r="F45" s="71"/>
      <c r="G45" s="72"/>
      <c r="H45" s="73"/>
      <c r="I45" s="74"/>
      <c r="J45" s="74"/>
      <c r="K45" s="74"/>
      <c r="L45" s="75"/>
      <c r="N45" s="46"/>
      <c r="O45" s="47"/>
      <c r="P45" s="47"/>
      <c r="Q45" s="48"/>
      <c r="R45" s="46"/>
      <c r="S45" s="47"/>
      <c r="T45" s="47"/>
      <c r="U45" s="47"/>
      <c r="V45" s="48"/>
    </row>
    <row r="46" spans="1:22" ht="13.2" x14ac:dyDescent="0.25">
      <c r="A46" s="30"/>
      <c r="B46" s="18"/>
      <c r="C46" s="70"/>
      <c r="D46" s="71"/>
      <c r="E46" s="71"/>
      <c r="F46" s="71"/>
      <c r="G46" s="72"/>
      <c r="H46" s="76"/>
      <c r="I46" s="77"/>
      <c r="J46" s="77"/>
      <c r="K46" s="77"/>
      <c r="L46" s="78"/>
      <c r="N46" s="46"/>
      <c r="O46" s="47"/>
      <c r="P46" s="47"/>
      <c r="Q46" s="48"/>
      <c r="R46" s="46"/>
      <c r="S46" s="47"/>
      <c r="T46" s="47"/>
      <c r="U46" s="47"/>
      <c r="V46" s="48"/>
    </row>
    <row r="47" spans="1:22" ht="13.2" x14ac:dyDescent="0.25">
      <c r="A47" s="30" t="s">
        <v>50</v>
      </c>
      <c r="B47" s="18"/>
      <c r="C47" s="70"/>
      <c r="D47" s="71"/>
      <c r="E47" s="71"/>
      <c r="F47" s="71"/>
      <c r="G47" s="72"/>
      <c r="H47" s="76"/>
      <c r="I47" s="77"/>
      <c r="J47" s="77"/>
      <c r="K47" s="77"/>
      <c r="L47" s="78"/>
      <c r="N47" s="46"/>
      <c r="O47" s="47"/>
      <c r="P47" s="47"/>
      <c r="Q47" s="48"/>
      <c r="R47" s="46"/>
      <c r="S47" s="47"/>
      <c r="T47" s="47"/>
      <c r="U47" s="47"/>
      <c r="V47" s="48"/>
    </row>
    <row r="48" spans="1:22" ht="13.2" x14ac:dyDescent="0.25">
      <c r="A48" s="30" t="s">
        <v>51</v>
      </c>
      <c r="B48" s="18"/>
      <c r="C48" s="70"/>
      <c r="D48" s="71"/>
      <c r="E48" s="71"/>
      <c r="F48" s="71"/>
      <c r="G48" s="72"/>
      <c r="H48" s="76"/>
      <c r="I48" s="77"/>
      <c r="J48" s="77"/>
      <c r="K48" s="77"/>
      <c r="L48" s="78"/>
      <c r="N48" s="46"/>
      <c r="O48" s="47"/>
      <c r="P48" s="47"/>
      <c r="Q48" s="48"/>
      <c r="R48" s="46"/>
      <c r="S48" s="47"/>
      <c r="T48" s="47"/>
      <c r="U48" s="47"/>
      <c r="V48" s="48"/>
    </row>
    <row r="49" spans="1:22" ht="13.2" x14ac:dyDescent="0.25">
      <c r="A49" s="79" t="s">
        <v>52</v>
      </c>
      <c r="B49" s="18"/>
      <c r="C49" s="61">
        <f t="shared" ref="C49:D49" si="14">+C31+C44</f>
        <v>-15110.390000000712</v>
      </c>
      <c r="D49" s="62">
        <f t="shared" si="14"/>
        <v>592105.15000000014</v>
      </c>
      <c r="E49" s="62">
        <f>+E31+E44</f>
        <v>19166.979999999981</v>
      </c>
      <c r="F49" s="62">
        <f>+F31+F44</f>
        <v>284419.37999999966</v>
      </c>
      <c r="G49" s="63">
        <f>+G31+G44</f>
        <v>489314</v>
      </c>
      <c r="H49" s="61">
        <f>+H31+H44</f>
        <v>220156.32707621995</v>
      </c>
      <c r="I49" s="62">
        <f t="shared" ref="I49:J49" si="15">+I31+I44</f>
        <v>-159597.31156284641</v>
      </c>
      <c r="J49" s="62">
        <f t="shared" si="15"/>
        <v>-526442.71310920804</v>
      </c>
      <c r="K49" s="62">
        <f>+K31+K44</f>
        <v>-424863.50144682161</v>
      </c>
      <c r="L49" s="63">
        <f>+L31+L44</f>
        <v>-354054.89602836082</v>
      </c>
      <c r="N49" s="46">
        <f t="shared" si="5"/>
        <v>-40.185298989633772</v>
      </c>
      <c r="O49" s="47">
        <f t="shared" si="5"/>
        <v>-0.9676290942580047</v>
      </c>
      <c r="P49" s="47">
        <f t="shared" si="5"/>
        <v>13.839029414127834</v>
      </c>
      <c r="Q49" s="48">
        <f t="shared" si="5"/>
        <v>0.72039612771816253</v>
      </c>
      <c r="R49" s="46">
        <f t="shared" si="5"/>
        <v>-0.55007147337656404</v>
      </c>
      <c r="S49" s="47">
        <f t="shared" si="5"/>
        <v>-1.7249272082359572</v>
      </c>
      <c r="T49" s="47">
        <f t="shared" si="5"/>
        <v>2.2985688039106149</v>
      </c>
      <c r="U49" s="47">
        <f t="shared" si="5"/>
        <v>-0.19295397036166084</v>
      </c>
      <c r="V49" s="48">
        <f t="shared" si="5"/>
        <v>-0.16666201068656306</v>
      </c>
    </row>
    <row r="50" spans="1:22" ht="13.2" x14ac:dyDescent="0.25">
      <c r="A50" s="30"/>
      <c r="B50" s="18"/>
      <c r="C50" s="70"/>
      <c r="D50" s="71"/>
      <c r="E50" s="71"/>
      <c r="F50" s="71"/>
      <c r="G50" s="72"/>
      <c r="H50" s="76"/>
      <c r="I50" s="77"/>
      <c r="J50" s="77"/>
      <c r="K50" s="77"/>
      <c r="L50" s="78"/>
      <c r="N50" s="46"/>
      <c r="O50" s="47"/>
      <c r="P50" s="47"/>
      <c r="Q50" s="48"/>
      <c r="R50" s="46"/>
      <c r="S50" s="47"/>
      <c r="T50" s="47"/>
      <c r="U50" s="47"/>
      <c r="V50" s="48"/>
    </row>
    <row r="51" spans="1:22" ht="13.2" x14ac:dyDescent="0.25">
      <c r="A51" s="30" t="s">
        <v>53</v>
      </c>
      <c r="B51" s="18"/>
      <c r="C51" s="70">
        <v>637062.89999999991</v>
      </c>
      <c r="D51" s="71">
        <v>621952.50999999919</v>
      </c>
      <c r="E51" s="71">
        <v>1214057.6599999992</v>
      </c>
      <c r="F51" s="71">
        <v>1233224.6399999992</v>
      </c>
      <c r="G51" s="72">
        <v>1517644.0199999989</v>
      </c>
      <c r="H51" s="76">
        <f>+G53</f>
        <v>2006958.0199999989</v>
      </c>
      <c r="I51" s="77">
        <f>+H53</f>
        <v>2227114.3470762186</v>
      </c>
      <c r="J51" s="77">
        <f>+I53</f>
        <v>2067517.0355133722</v>
      </c>
      <c r="K51" s="77">
        <f>+J53</f>
        <v>1541074.3224041641</v>
      </c>
      <c r="L51" s="78">
        <f>+K53</f>
        <v>1116210.8209573426</v>
      </c>
      <c r="N51" s="46">
        <f t="shared" si="5"/>
        <v>-2.3718835298682017E-2</v>
      </c>
      <c r="O51" s="47">
        <f t="shared" si="5"/>
        <v>0.95201022663289958</v>
      </c>
      <c r="P51" s="47">
        <f t="shared" si="5"/>
        <v>1.5787536812707836E-2</v>
      </c>
      <c r="Q51" s="48">
        <f t="shared" si="5"/>
        <v>0.23063063352350777</v>
      </c>
      <c r="R51" s="46">
        <f t="shared" si="5"/>
        <v>0.32241684713388863</v>
      </c>
      <c r="S51" s="47">
        <f t="shared" si="5"/>
        <v>0.10969652821946907</v>
      </c>
      <c r="T51" s="47">
        <f t="shared" si="5"/>
        <v>-7.1661031582131218E-2</v>
      </c>
      <c r="U51" s="47">
        <f t="shared" si="5"/>
        <v>-0.25462557457403989</v>
      </c>
      <c r="V51" s="48">
        <f t="shared" si="5"/>
        <v>-0.27569306377385494</v>
      </c>
    </row>
    <row r="52" spans="1:22" ht="13.8" thickBot="1" x14ac:dyDescent="0.3">
      <c r="A52" s="30"/>
      <c r="B52" s="18"/>
      <c r="C52" s="80"/>
      <c r="D52" s="81"/>
      <c r="E52" s="81"/>
      <c r="F52" s="81"/>
      <c r="G52" s="82"/>
      <c r="H52" s="83"/>
      <c r="I52" s="84"/>
      <c r="J52" s="84"/>
      <c r="K52" s="84"/>
      <c r="L52" s="85"/>
      <c r="N52" s="46"/>
      <c r="O52" s="47"/>
      <c r="P52" s="47"/>
      <c r="Q52" s="48"/>
      <c r="R52" s="46"/>
      <c r="S52" s="47"/>
      <c r="T52" s="47"/>
      <c r="U52" s="47"/>
      <c r="V52" s="48"/>
    </row>
    <row r="53" spans="1:22" ht="13.8" thickBot="1" x14ac:dyDescent="0.3">
      <c r="A53" s="49" t="s">
        <v>54</v>
      </c>
      <c r="B53" s="18"/>
      <c r="C53" s="86">
        <f t="shared" ref="C53:D53" si="16">+C49+C51</f>
        <v>621952.50999999919</v>
      </c>
      <c r="D53" s="87">
        <f t="shared" si="16"/>
        <v>1214057.6599999992</v>
      </c>
      <c r="E53" s="87">
        <f>+E49+E51</f>
        <v>1233224.6399999992</v>
      </c>
      <c r="F53" s="87">
        <f>+F49+F51</f>
        <v>1517644.0199999989</v>
      </c>
      <c r="G53" s="88">
        <f>+G49+G51</f>
        <v>2006958.0199999989</v>
      </c>
      <c r="H53" s="86">
        <f t="shared" ref="H53:L53" si="17">+H49+H51</f>
        <v>2227114.3470762186</v>
      </c>
      <c r="I53" s="87">
        <f t="shared" si="17"/>
        <v>2067517.0355133722</v>
      </c>
      <c r="J53" s="87">
        <f t="shared" si="17"/>
        <v>1541074.3224041641</v>
      </c>
      <c r="K53" s="87">
        <f t="shared" si="17"/>
        <v>1116210.8209573426</v>
      </c>
      <c r="L53" s="88">
        <f t="shared" si="17"/>
        <v>762155.92492898181</v>
      </c>
      <c r="N53" s="89">
        <f t="shared" si="5"/>
        <v>0.95201022663289958</v>
      </c>
      <c r="O53" s="90">
        <f t="shared" si="5"/>
        <v>1.5787536812707836E-2</v>
      </c>
      <c r="P53" s="90">
        <f t="shared" si="5"/>
        <v>0.23063063352350777</v>
      </c>
      <c r="Q53" s="91">
        <f t="shared" si="5"/>
        <v>0.32241684713388863</v>
      </c>
      <c r="R53" s="89">
        <f t="shared" si="5"/>
        <v>0.10969652821946907</v>
      </c>
      <c r="S53" s="90">
        <f t="shared" si="5"/>
        <v>-7.1661031582131218E-2</v>
      </c>
      <c r="T53" s="90">
        <f t="shared" si="5"/>
        <v>-0.25462557457403989</v>
      </c>
      <c r="U53" s="90">
        <f t="shared" si="5"/>
        <v>-0.27569306377385494</v>
      </c>
      <c r="V53" s="91">
        <f t="shared" si="5"/>
        <v>-0.31719357076712251</v>
      </c>
    </row>
    <row r="54" spans="1:22" ht="13.2" x14ac:dyDescent="0.25">
      <c r="A54" s="17"/>
      <c r="B54" s="92"/>
      <c r="C54" s="93"/>
      <c r="D54" s="93"/>
      <c r="E54" s="93"/>
      <c r="F54" s="93"/>
      <c r="G54" s="93"/>
      <c r="H54" s="94"/>
      <c r="I54" s="94"/>
      <c r="J54" s="94"/>
      <c r="K54" s="94"/>
      <c r="L54" s="94"/>
    </row>
    <row r="55" spans="1:22" ht="13.35" hidden="1" customHeight="1" x14ac:dyDescent="0.25">
      <c r="A55" s="95" t="s">
        <v>55</v>
      </c>
      <c r="B55" s="28"/>
      <c r="C55" s="96"/>
      <c r="D55" s="96"/>
      <c r="E55" s="96">
        <v>0</v>
      </c>
      <c r="F55" s="96">
        <v>0</v>
      </c>
      <c r="G55" s="96">
        <v>0</v>
      </c>
      <c r="H55" s="94">
        <v>0</v>
      </c>
      <c r="I55" s="94">
        <v>0</v>
      </c>
      <c r="J55" s="94">
        <v>0</v>
      </c>
      <c r="K55" s="94">
        <v>0</v>
      </c>
      <c r="L55" s="94">
        <v>0</v>
      </c>
    </row>
    <row r="56" spans="1:22" ht="13.35" hidden="1" customHeight="1" x14ac:dyDescent="0.25">
      <c r="A56" s="95"/>
      <c r="B56" s="28"/>
      <c r="C56" s="96"/>
      <c r="D56" s="96"/>
      <c r="E56" s="96">
        <v>0</v>
      </c>
      <c r="F56" s="96">
        <v>0</v>
      </c>
      <c r="G56" s="96">
        <v>0</v>
      </c>
      <c r="H56" s="94">
        <v>0</v>
      </c>
      <c r="I56" s="94">
        <v>0</v>
      </c>
      <c r="J56" s="94">
        <v>0</v>
      </c>
      <c r="K56" s="94">
        <v>0</v>
      </c>
      <c r="L56" s="94">
        <v>0</v>
      </c>
    </row>
    <row r="57" spans="1:22" ht="13.35" hidden="1" customHeight="1" x14ac:dyDescent="0.25">
      <c r="A57" s="17" t="s">
        <v>56</v>
      </c>
      <c r="B57" s="18"/>
      <c r="C57" s="96"/>
      <c r="D57" s="96"/>
      <c r="E57" s="96">
        <v>0</v>
      </c>
      <c r="F57" s="96">
        <v>0</v>
      </c>
      <c r="G57" s="96">
        <v>0</v>
      </c>
      <c r="H57" s="97">
        <v>0</v>
      </c>
      <c r="I57" s="97">
        <v>0</v>
      </c>
      <c r="J57" s="97">
        <v>0</v>
      </c>
      <c r="K57" s="97">
        <v>0</v>
      </c>
      <c r="L57" s="97">
        <v>0</v>
      </c>
    </row>
    <row r="58" spans="1:22" ht="13.35" hidden="1" customHeight="1" x14ac:dyDescent="0.25">
      <c r="A58" s="17" t="s">
        <v>57</v>
      </c>
      <c r="B58" s="18"/>
      <c r="C58" s="96"/>
      <c r="D58" s="96"/>
      <c r="E58" s="96">
        <v>0</v>
      </c>
      <c r="F58" s="96">
        <v>0</v>
      </c>
      <c r="G58" s="96">
        <v>0</v>
      </c>
      <c r="H58" s="97">
        <v>0</v>
      </c>
      <c r="I58" s="97">
        <v>0</v>
      </c>
      <c r="J58" s="97">
        <v>0</v>
      </c>
      <c r="K58" s="97">
        <v>0</v>
      </c>
      <c r="L58" s="97">
        <v>0</v>
      </c>
    </row>
    <row r="59" spans="1:22" ht="13.35" hidden="1" customHeight="1" x14ac:dyDescent="0.25">
      <c r="A59" s="17" t="s">
        <v>58</v>
      </c>
      <c r="B59" s="18"/>
      <c r="C59" s="96"/>
      <c r="D59" s="96"/>
      <c r="E59" s="96">
        <v>0</v>
      </c>
      <c r="F59" s="96">
        <v>0</v>
      </c>
      <c r="G59" s="96">
        <v>0</v>
      </c>
      <c r="H59" s="97">
        <v>0</v>
      </c>
      <c r="I59" s="97">
        <v>0</v>
      </c>
      <c r="J59" s="97">
        <v>0</v>
      </c>
      <c r="K59" s="97">
        <v>0</v>
      </c>
      <c r="L59" s="97">
        <v>0</v>
      </c>
    </row>
    <row r="60" spans="1:22" ht="13.35" hidden="1" customHeight="1" x14ac:dyDescent="0.25">
      <c r="A60" s="17" t="s">
        <v>59</v>
      </c>
      <c r="B60" s="18"/>
      <c r="C60" s="96"/>
      <c r="D60" s="96"/>
      <c r="E60" s="96">
        <v>0</v>
      </c>
      <c r="F60" s="96">
        <v>0</v>
      </c>
      <c r="G60" s="96">
        <v>0</v>
      </c>
      <c r="H60" s="97">
        <v>0</v>
      </c>
      <c r="I60" s="97">
        <v>0</v>
      </c>
      <c r="J60" s="97">
        <v>0</v>
      </c>
      <c r="K60" s="97">
        <v>0</v>
      </c>
      <c r="L60" s="97">
        <v>0</v>
      </c>
    </row>
    <row r="61" spans="1:22" ht="13.35" hidden="1" customHeight="1" x14ac:dyDescent="0.25">
      <c r="A61" s="17" t="s">
        <v>60</v>
      </c>
      <c r="B61" s="18"/>
      <c r="C61" s="96"/>
      <c r="D61" s="96"/>
      <c r="E61" s="96">
        <v>0</v>
      </c>
      <c r="F61" s="96">
        <v>0</v>
      </c>
      <c r="G61" s="96">
        <v>0</v>
      </c>
      <c r="H61" s="97">
        <v>0</v>
      </c>
      <c r="I61" s="97">
        <v>0</v>
      </c>
      <c r="J61" s="97">
        <v>0</v>
      </c>
      <c r="K61" s="97">
        <v>0</v>
      </c>
      <c r="L61" s="97">
        <v>0</v>
      </c>
    </row>
    <row r="62" spans="1:22" ht="13.35" hidden="1" customHeight="1" x14ac:dyDescent="0.25">
      <c r="A62" s="17" t="s">
        <v>61</v>
      </c>
      <c r="B62" s="18"/>
      <c r="C62" s="96"/>
      <c r="D62" s="96"/>
      <c r="E62" s="96">
        <v>0</v>
      </c>
      <c r="F62" s="96">
        <v>0</v>
      </c>
      <c r="G62" s="96">
        <v>0</v>
      </c>
      <c r="H62" s="97">
        <v>0</v>
      </c>
      <c r="I62" s="97">
        <v>0</v>
      </c>
      <c r="J62" s="97">
        <v>0</v>
      </c>
      <c r="K62" s="97">
        <v>0</v>
      </c>
      <c r="L62" s="97">
        <v>0</v>
      </c>
    </row>
    <row r="63" spans="1:22" ht="13.2" x14ac:dyDescent="0.25">
      <c r="A63" s="17"/>
      <c r="B63" s="18"/>
      <c r="C63" s="98"/>
      <c r="D63" s="99"/>
      <c r="E63" s="99"/>
      <c r="F63" s="99"/>
      <c r="G63" s="99"/>
      <c r="H63" s="100"/>
      <c r="I63" s="100"/>
      <c r="J63" s="100"/>
      <c r="K63" s="100"/>
      <c r="L63" s="100"/>
    </row>
    <row r="64" spans="1:22" ht="13.8" thickBot="1" x14ac:dyDescent="0.3">
      <c r="A64" s="27" t="s">
        <v>62</v>
      </c>
      <c r="B64" s="28"/>
      <c r="C64" s="101"/>
      <c r="D64" s="101"/>
      <c r="E64" s="101"/>
      <c r="F64" s="101"/>
      <c r="G64" s="101"/>
      <c r="H64" s="102"/>
      <c r="I64" s="102"/>
      <c r="J64" s="102"/>
      <c r="K64" s="102"/>
      <c r="L64" s="102"/>
    </row>
    <row r="65" spans="1:22" ht="13.2" x14ac:dyDescent="0.25">
      <c r="A65" s="30" t="s">
        <v>63</v>
      </c>
      <c r="B65" s="18"/>
      <c r="C65" s="31">
        <v>243.39</v>
      </c>
      <c r="D65" s="103">
        <v>247.42</v>
      </c>
      <c r="E65" s="103">
        <v>258.06</v>
      </c>
      <c r="F65" s="103">
        <v>232.16</v>
      </c>
      <c r="G65" s="103">
        <v>206</v>
      </c>
      <c r="H65" s="34">
        <v>209.65</v>
      </c>
      <c r="I65" s="35">
        <v>222</v>
      </c>
      <c r="J65" s="35">
        <v>238</v>
      </c>
      <c r="K65" s="35">
        <v>248</v>
      </c>
      <c r="L65" s="36">
        <v>255</v>
      </c>
      <c r="N65" s="104">
        <f t="shared" ref="N65:V67" si="18">+D65/C65-1</f>
        <v>1.6557787912403921E-2</v>
      </c>
      <c r="O65" s="105">
        <f t="shared" si="18"/>
        <v>4.3003799207824711E-2</v>
      </c>
      <c r="P65" s="105">
        <f t="shared" si="18"/>
        <v>-0.10036425637448654</v>
      </c>
      <c r="Q65" s="106">
        <f t="shared" si="18"/>
        <v>-0.11268090971743627</v>
      </c>
      <c r="R65" s="104">
        <f t="shared" si="18"/>
        <v>1.7718446601941773E-2</v>
      </c>
      <c r="S65" s="105">
        <f t="shared" si="18"/>
        <v>5.8907703315048909E-2</v>
      </c>
      <c r="T65" s="105">
        <f t="shared" si="18"/>
        <v>7.2072072072072002E-2</v>
      </c>
      <c r="U65" s="105">
        <f t="shared" si="18"/>
        <v>4.2016806722689148E-2</v>
      </c>
      <c r="V65" s="106">
        <f t="shared" si="18"/>
        <v>2.8225806451612989E-2</v>
      </c>
    </row>
    <row r="66" spans="1:22" ht="13.2" x14ac:dyDescent="0.25">
      <c r="A66" s="30" t="s">
        <v>64</v>
      </c>
      <c r="B66" s="18"/>
      <c r="C66" s="40">
        <v>28</v>
      </c>
      <c r="D66" s="58">
        <v>24</v>
      </c>
      <c r="E66" s="58">
        <v>23</v>
      </c>
      <c r="F66" s="58">
        <v>25</v>
      </c>
      <c r="G66" s="58">
        <v>20</v>
      </c>
      <c r="H66" s="40">
        <v>22</v>
      </c>
      <c r="I66" s="44">
        <v>24</v>
      </c>
      <c r="J66" s="44">
        <v>24</v>
      </c>
      <c r="K66" s="44">
        <v>24</v>
      </c>
      <c r="L66" s="45">
        <v>24</v>
      </c>
      <c r="N66" s="107">
        <f t="shared" si="18"/>
        <v>-0.1428571428571429</v>
      </c>
      <c r="O66" s="108">
        <f t="shared" si="18"/>
        <v>-4.166666666666663E-2</v>
      </c>
      <c r="P66" s="108">
        <f t="shared" si="18"/>
        <v>8.6956521739130377E-2</v>
      </c>
      <c r="Q66" s="109">
        <f t="shared" si="18"/>
        <v>-0.19999999999999996</v>
      </c>
      <c r="R66" s="107">
        <f t="shared" si="18"/>
        <v>0.10000000000000009</v>
      </c>
      <c r="S66" s="108">
        <f t="shared" si="18"/>
        <v>9.0909090909090828E-2</v>
      </c>
      <c r="T66" s="108">
        <f t="shared" si="18"/>
        <v>0</v>
      </c>
      <c r="U66" s="108">
        <f t="shared" si="18"/>
        <v>0</v>
      </c>
      <c r="V66" s="109">
        <f t="shared" si="18"/>
        <v>0</v>
      </c>
    </row>
    <row r="67" spans="1:22" ht="13.2" x14ac:dyDescent="0.25">
      <c r="A67" s="30" t="s">
        <v>65</v>
      </c>
      <c r="B67" s="18"/>
      <c r="C67" s="40">
        <v>10</v>
      </c>
      <c r="D67" s="58">
        <v>11</v>
      </c>
      <c r="E67" s="58">
        <v>11</v>
      </c>
      <c r="F67" s="58">
        <v>14</v>
      </c>
      <c r="G67" s="58">
        <v>10</v>
      </c>
      <c r="H67" s="40">
        <v>11</v>
      </c>
      <c r="I67" s="44">
        <v>12</v>
      </c>
      <c r="J67" s="44">
        <v>12</v>
      </c>
      <c r="K67" s="44">
        <v>12</v>
      </c>
      <c r="L67" s="45">
        <v>12</v>
      </c>
      <c r="N67" s="107">
        <f t="shared" si="18"/>
        <v>0.10000000000000009</v>
      </c>
      <c r="O67" s="108">
        <f t="shared" si="18"/>
        <v>0</v>
      </c>
      <c r="P67" s="108">
        <f t="shared" si="18"/>
        <v>0.27272727272727271</v>
      </c>
      <c r="Q67" s="109">
        <f t="shared" si="18"/>
        <v>-0.2857142857142857</v>
      </c>
      <c r="R67" s="107">
        <f t="shared" si="18"/>
        <v>0.10000000000000009</v>
      </c>
      <c r="S67" s="108">
        <f t="shared" si="18"/>
        <v>9.0909090909090828E-2</v>
      </c>
      <c r="T67" s="108">
        <f t="shared" si="18"/>
        <v>0</v>
      </c>
      <c r="U67" s="108">
        <f t="shared" si="18"/>
        <v>0</v>
      </c>
      <c r="V67" s="109">
        <f t="shared" si="18"/>
        <v>0</v>
      </c>
    </row>
    <row r="68" spans="1:22" ht="13.8" thickBot="1" x14ac:dyDescent="0.3">
      <c r="A68" s="30" t="s">
        <v>66</v>
      </c>
      <c r="B68" s="18"/>
      <c r="C68" s="110">
        <v>0</v>
      </c>
      <c r="D68" s="111">
        <v>0</v>
      </c>
      <c r="E68" s="111">
        <v>0</v>
      </c>
      <c r="F68" s="111">
        <v>0</v>
      </c>
      <c r="G68" s="111">
        <v>0</v>
      </c>
      <c r="H68" s="110">
        <v>0</v>
      </c>
      <c r="I68" s="112">
        <v>0</v>
      </c>
      <c r="J68" s="112">
        <v>0</v>
      </c>
      <c r="K68" s="112">
        <v>0</v>
      </c>
      <c r="L68" s="113">
        <v>0</v>
      </c>
      <c r="N68" s="114"/>
      <c r="O68" s="115"/>
      <c r="P68" s="115"/>
      <c r="Q68" s="116"/>
      <c r="R68" s="114"/>
      <c r="S68" s="115"/>
      <c r="T68" s="115"/>
      <c r="U68" s="115"/>
      <c r="V68" s="116"/>
    </row>
    <row r="69" spans="1:22" ht="13.2" x14ac:dyDescent="0.25">
      <c r="A69" s="17"/>
      <c r="B69" s="92"/>
      <c r="C69" s="98"/>
      <c r="D69" s="99"/>
      <c r="E69" s="99"/>
      <c r="F69" s="99"/>
      <c r="G69" s="99"/>
      <c r="H69" s="117"/>
      <c r="I69" s="118"/>
      <c r="J69" s="118"/>
      <c r="K69" s="118"/>
      <c r="L69" s="100"/>
    </row>
    <row r="70" spans="1:22" ht="13.2" x14ac:dyDescent="0.25">
      <c r="A70" s="17"/>
      <c r="B70" s="18"/>
      <c r="C70" s="119"/>
      <c r="D70" s="119"/>
      <c r="E70" s="119"/>
      <c r="F70" s="119"/>
      <c r="G70" s="119"/>
      <c r="H70" s="117"/>
      <c r="I70" s="118"/>
      <c r="J70" s="118"/>
      <c r="K70" s="118"/>
      <c r="L70" s="100"/>
    </row>
    <row r="71" spans="1:22" ht="13.8" thickBot="1" x14ac:dyDescent="0.3">
      <c r="A71" s="95" t="s">
        <v>67</v>
      </c>
      <c r="B71" s="28"/>
      <c r="C71" s="120"/>
      <c r="D71" s="120"/>
      <c r="E71" s="120"/>
      <c r="F71" s="120"/>
      <c r="G71" s="120"/>
      <c r="H71" s="121"/>
      <c r="I71" s="118"/>
      <c r="J71" s="118"/>
      <c r="K71" s="118"/>
      <c r="L71" s="122"/>
    </row>
    <row r="72" spans="1:22" ht="13.2" x14ac:dyDescent="0.25">
      <c r="A72" s="30" t="s">
        <v>68</v>
      </c>
      <c r="B72" s="18"/>
      <c r="C72" s="31">
        <v>138770.9</v>
      </c>
      <c r="D72" s="32">
        <v>173691.48</v>
      </c>
      <c r="E72" s="32">
        <v>173950.68</v>
      </c>
      <c r="F72" s="32">
        <v>0</v>
      </c>
      <c r="G72" s="33">
        <v>72143</v>
      </c>
      <c r="H72" s="31">
        <v>74841.72</v>
      </c>
      <c r="I72" s="123">
        <v>74841.72</v>
      </c>
      <c r="J72" s="123">
        <v>74841.72</v>
      </c>
      <c r="K72" s="123">
        <v>74841.72</v>
      </c>
      <c r="L72" s="124">
        <v>74841.72</v>
      </c>
      <c r="N72" s="104">
        <f t="shared" ref="N72:V92" si="19">+D72/C72-1</f>
        <v>0.25164195087010333</v>
      </c>
      <c r="O72" s="105">
        <f t="shared" si="19"/>
        <v>1.4923011767760119E-3</v>
      </c>
      <c r="P72" s="105">
        <f t="shared" si="19"/>
        <v>-1</v>
      </c>
      <c r="Q72" s="106" t="e">
        <f t="shared" si="19"/>
        <v>#DIV/0!</v>
      </c>
      <c r="R72" s="104">
        <f t="shared" si="19"/>
        <v>3.7407925924899166E-2</v>
      </c>
      <c r="S72" s="105">
        <f t="shared" si="19"/>
        <v>0</v>
      </c>
      <c r="T72" s="105">
        <f t="shared" si="19"/>
        <v>0</v>
      </c>
      <c r="U72" s="105">
        <f t="shared" si="19"/>
        <v>0</v>
      </c>
      <c r="V72" s="106">
        <f t="shared" si="19"/>
        <v>0</v>
      </c>
    </row>
    <row r="73" spans="1:22" ht="13.2" x14ac:dyDescent="0.25">
      <c r="A73" s="30" t="s">
        <v>69</v>
      </c>
      <c r="B73" s="18"/>
      <c r="C73" s="40">
        <v>62884.47</v>
      </c>
      <c r="D73" s="41">
        <v>63728.66</v>
      </c>
      <c r="E73" s="41">
        <v>46764.766199999998</v>
      </c>
      <c r="F73" s="41">
        <v>63925.73</v>
      </c>
      <c r="G73" s="42">
        <v>56327</v>
      </c>
      <c r="H73" s="40">
        <v>66610.759999999995</v>
      </c>
      <c r="I73" s="125">
        <v>67276.867599999998</v>
      </c>
      <c r="J73" s="125">
        <v>68622.404951999997</v>
      </c>
      <c r="K73" s="125">
        <v>69994.853051040001</v>
      </c>
      <c r="L73" s="126">
        <v>71394.750112060807</v>
      </c>
      <c r="N73" s="107">
        <f t="shared" si="19"/>
        <v>1.3424459170920944E-2</v>
      </c>
      <c r="O73" s="108">
        <f t="shared" si="19"/>
        <v>-0.26618940049892792</v>
      </c>
      <c r="P73" s="108">
        <f t="shared" si="19"/>
        <v>0.36696353247244518</v>
      </c>
      <c r="Q73" s="109">
        <f t="shared" si="19"/>
        <v>-0.1188680989642199</v>
      </c>
      <c r="R73" s="107">
        <f t="shared" si="19"/>
        <v>0.18257247856267855</v>
      </c>
      <c r="S73" s="108">
        <f t="shared" si="19"/>
        <v>1.0000000000000009E-2</v>
      </c>
      <c r="T73" s="108">
        <f t="shared" si="19"/>
        <v>2.0000000000000018E-2</v>
      </c>
      <c r="U73" s="108">
        <f t="shared" si="19"/>
        <v>2.0000000000000018E-2</v>
      </c>
      <c r="V73" s="109">
        <f t="shared" si="19"/>
        <v>2.0000000000000018E-2</v>
      </c>
    </row>
    <row r="74" spans="1:22" ht="13.2" x14ac:dyDescent="0.25">
      <c r="A74" s="30" t="s">
        <v>70</v>
      </c>
      <c r="B74" s="18"/>
      <c r="C74" s="40">
        <v>195671.37</v>
      </c>
      <c r="D74" s="41">
        <v>232163.94</v>
      </c>
      <c r="E74" s="41">
        <v>228854</v>
      </c>
      <c r="F74" s="41">
        <v>242953.14</v>
      </c>
      <c r="G74" s="42">
        <v>258581</v>
      </c>
      <c r="H74" s="40">
        <v>282515.05</v>
      </c>
      <c r="I74" s="125">
        <v>288485</v>
      </c>
      <c r="J74" s="125">
        <v>294254.7</v>
      </c>
      <c r="K74" s="125">
        <v>300139.79400000011</v>
      </c>
      <c r="L74" s="126">
        <v>306142.58987999998</v>
      </c>
      <c r="N74" s="107">
        <f t="shared" si="19"/>
        <v>0.18649928193378518</v>
      </c>
      <c r="O74" s="108">
        <f t="shared" si="19"/>
        <v>-1.4256908286446213E-2</v>
      </c>
      <c r="P74" s="108">
        <f t="shared" si="19"/>
        <v>6.1607575135239179E-2</v>
      </c>
      <c r="Q74" s="109">
        <f t="shared" si="19"/>
        <v>6.4324585391240419E-2</v>
      </c>
      <c r="R74" s="107">
        <f t="shared" si="19"/>
        <v>9.2559198084932737E-2</v>
      </c>
      <c r="S74" s="108">
        <f t="shared" si="19"/>
        <v>2.1131440608208374E-2</v>
      </c>
      <c r="T74" s="108">
        <f t="shared" si="19"/>
        <v>2.0000000000000018E-2</v>
      </c>
      <c r="U74" s="108">
        <f t="shared" si="19"/>
        <v>2.000000000000024E-2</v>
      </c>
      <c r="V74" s="109">
        <f t="shared" si="19"/>
        <v>1.9999999999999574E-2</v>
      </c>
    </row>
    <row r="75" spans="1:22" ht="13.2" x14ac:dyDescent="0.25">
      <c r="A75" s="30" t="s">
        <v>71</v>
      </c>
      <c r="B75" s="18"/>
      <c r="C75" s="40">
        <v>0</v>
      </c>
      <c r="D75" s="41">
        <v>0</v>
      </c>
      <c r="E75" s="41">
        <v>0</v>
      </c>
      <c r="F75" s="41">
        <v>0</v>
      </c>
      <c r="G75" s="42">
        <v>0</v>
      </c>
      <c r="H75" s="40">
        <v>0</v>
      </c>
      <c r="I75" s="125">
        <v>0</v>
      </c>
      <c r="J75" s="125">
        <v>0</v>
      </c>
      <c r="K75" s="125">
        <v>0</v>
      </c>
      <c r="L75" s="126">
        <v>0</v>
      </c>
      <c r="N75" s="107"/>
      <c r="O75" s="108"/>
      <c r="P75" s="108"/>
      <c r="Q75" s="109"/>
      <c r="R75" s="107"/>
      <c r="S75" s="108"/>
      <c r="T75" s="108"/>
      <c r="U75" s="108"/>
      <c r="V75" s="109"/>
    </row>
    <row r="76" spans="1:22" ht="13.2" x14ac:dyDescent="0.25">
      <c r="A76" s="30" t="s">
        <v>72</v>
      </c>
      <c r="B76" s="18"/>
      <c r="C76" s="40">
        <v>7971.98</v>
      </c>
      <c r="D76" s="41">
        <v>8602.82</v>
      </c>
      <c r="E76" s="41">
        <v>13671.619999999999</v>
      </c>
      <c r="F76" s="41">
        <v>22200</v>
      </c>
      <c r="G76" s="42">
        <v>45542</v>
      </c>
      <c r="H76" s="40">
        <v>27429.78</v>
      </c>
      <c r="I76" s="125">
        <v>27704.077799999999</v>
      </c>
      <c r="J76" s="125">
        <v>28258.159356</v>
      </c>
      <c r="K76" s="125">
        <v>28823.322543120001</v>
      </c>
      <c r="L76" s="126">
        <v>29399.788993982402</v>
      </c>
      <c r="N76" s="107">
        <f t="shared" si="19"/>
        <v>7.9132160391772288E-2</v>
      </c>
      <c r="O76" s="108">
        <v>0</v>
      </c>
      <c r="P76" s="108">
        <v>0</v>
      </c>
      <c r="Q76" s="109">
        <f t="shared" si="19"/>
        <v>1.0514414414414412</v>
      </c>
      <c r="R76" s="107">
        <f t="shared" si="19"/>
        <v>-0.39770365816169695</v>
      </c>
      <c r="S76" s="108">
        <f t="shared" si="19"/>
        <v>1.0000000000000009E-2</v>
      </c>
      <c r="T76" s="108">
        <f t="shared" si="19"/>
        <v>2.0000000000000018E-2</v>
      </c>
      <c r="U76" s="108">
        <f t="shared" si="19"/>
        <v>2.0000000000000018E-2</v>
      </c>
      <c r="V76" s="109">
        <f t="shared" si="19"/>
        <v>2.0000000000000018E-2</v>
      </c>
    </row>
    <row r="77" spans="1:22" ht="13.2" x14ac:dyDescent="0.25">
      <c r="A77" s="30" t="s">
        <v>73</v>
      </c>
      <c r="B77" s="18"/>
      <c r="C77" s="40">
        <v>0</v>
      </c>
      <c r="D77" s="41">
        <v>0</v>
      </c>
      <c r="E77" s="41">
        <v>0</v>
      </c>
      <c r="F77" s="41">
        <v>0</v>
      </c>
      <c r="G77" s="42">
        <v>0</v>
      </c>
      <c r="H77" s="40">
        <v>0</v>
      </c>
      <c r="I77" s="125">
        <v>0</v>
      </c>
      <c r="J77" s="125">
        <v>0</v>
      </c>
      <c r="K77" s="125">
        <v>0</v>
      </c>
      <c r="L77" s="126">
        <v>0</v>
      </c>
      <c r="N77" s="107"/>
      <c r="O77" s="108"/>
      <c r="P77" s="108"/>
      <c r="Q77" s="109"/>
      <c r="R77" s="107"/>
      <c r="S77" s="108"/>
      <c r="T77" s="108"/>
      <c r="U77" s="108"/>
      <c r="V77" s="109"/>
    </row>
    <row r="78" spans="1:22" ht="13.2" x14ac:dyDescent="0.25">
      <c r="A78" s="30" t="s">
        <v>74</v>
      </c>
      <c r="B78" s="18"/>
      <c r="C78" s="40">
        <v>45931.38</v>
      </c>
      <c r="D78" s="41">
        <v>48734.94</v>
      </c>
      <c r="E78" s="41">
        <v>53989.350037836171</v>
      </c>
      <c r="F78" s="41">
        <v>51763.54</v>
      </c>
      <c r="G78" s="42">
        <v>56530</v>
      </c>
      <c r="H78" s="40">
        <v>60000</v>
      </c>
      <c r="I78" s="125">
        <v>55000</v>
      </c>
      <c r="J78" s="125">
        <v>56100</v>
      </c>
      <c r="K78" s="125">
        <v>57222</v>
      </c>
      <c r="L78" s="126">
        <v>58366.44</v>
      </c>
      <c r="N78" s="107">
        <f t="shared" si="19"/>
        <v>6.1038009308668872E-2</v>
      </c>
      <c r="O78" s="108">
        <f t="shared" si="19"/>
        <v>0.10781607688110761</v>
      </c>
      <c r="P78" s="108">
        <f t="shared" si="19"/>
        <v>-4.1226835223545089E-2</v>
      </c>
      <c r="Q78" s="109">
        <f t="shared" si="19"/>
        <v>9.208141483368415E-2</v>
      </c>
      <c r="R78" s="107">
        <f t="shared" si="19"/>
        <v>6.1383336281620293E-2</v>
      </c>
      <c r="S78" s="108">
        <f t="shared" si="19"/>
        <v>-8.333333333333337E-2</v>
      </c>
      <c r="T78" s="108">
        <f t="shared" si="19"/>
        <v>2.0000000000000018E-2</v>
      </c>
      <c r="U78" s="108">
        <f t="shared" si="19"/>
        <v>2.0000000000000018E-2</v>
      </c>
      <c r="V78" s="109">
        <f t="shared" si="19"/>
        <v>2.0000000000000018E-2</v>
      </c>
    </row>
    <row r="79" spans="1:22" ht="13.2" x14ac:dyDescent="0.25">
      <c r="A79" s="30" t="s">
        <v>75</v>
      </c>
      <c r="B79" s="18"/>
      <c r="C79" s="40">
        <v>0</v>
      </c>
      <c r="D79" s="41">
        <v>0</v>
      </c>
      <c r="E79" s="41">
        <v>0</v>
      </c>
      <c r="F79" s="41">
        <v>0</v>
      </c>
      <c r="G79" s="42">
        <v>0</v>
      </c>
      <c r="H79" s="40">
        <v>0</v>
      </c>
      <c r="I79" s="125">
        <v>0</v>
      </c>
      <c r="J79" s="125">
        <v>0</v>
      </c>
      <c r="K79" s="125">
        <v>0</v>
      </c>
      <c r="L79" s="126">
        <v>0</v>
      </c>
      <c r="N79" s="107"/>
      <c r="O79" s="108"/>
      <c r="P79" s="108"/>
      <c r="Q79" s="109"/>
      <c r="R79" s="107"/>
      <c r="S79" s="108"/>
      <c r="T79" s="108"/>
      <c r="U79" s="108"/>
      <c r="V79" s="109"/>
    </row>
    <row r="80" spans="1:22" ht="13.2" x14ac:dyDescent="0.25">
      <c r="A80" s="30" t="s">
        <v>76</v>
      </c>
      <c r="B80" s="18"/>
      <c r="C80" s="40">
        <v>10343.5</v>
      </c>
      <c r="D80" s="41">
        <v>10555.4</v>
      </c>
      <c r="E80" s="41">
        <v>10115</v>
      </c>
      <c r="F80" s="41">
        <v>11474.2</v>
      </c>
      <c r="G80" s="42">
        <v>11476</v>
      </c>
      <c r="H80" s="40">
        <v>8000</v>
      </c>
      <c r="I80" s="125">
        <v>10000</v>
      </c>
      <c r="J80" s="125">
        <v>10200</v>
      </c>
      <c r="K80" s="125">
        <v>10404</v>
      </c>
      <c r="L80" s="126">
        <v>10612.08</v>
      </c>
      <c r="N80" s="107">
        <f t="shared" si="19"/>
        <v>2.0486295741286797E-2</v>
      </c>
      <c r="O80" s="108">
        <f t="shared" si="19"/>
        <v>-4.1722720124296564E-2</v>
      </c>
      <c r="P80" s="108">
        <f t="shared" si="19"/>
        <v>0.13437469105289179</v>
      </c>
      <c r="Q80" s="109">
        <f t="shared" si="19"/>
        <v>1.5687368182515371E-4</v>
      </c>
      <c r="R80" s="107">
        <f t="shared" si="19"/>
        <v>-0.30289299407459047</v>
      </c>
      <c r="S80" s="108">
        <f t="shared" si="19"/>
        <v>0.25</v>
      </c>
      <c r="T80" s="108">
        <f t="shared" si="19"/>
        <v>2.0000000000000018E-2</v>
      </c>
      <c r="U80" s="108">
        <f t="shared" si="19"/>
        <v>2.0000000000000018E-2</v>
      </c>
      <c r="V80" s="109">
        <f t="shared" si="19"/>
        <v>2.0000000000000018E-2</v>
      </c>
    </row>
    <row r="81" spans="1:22" ht="13.2" x14ac:dyDescent="0.25">
      <c r="A81" s="30" t="s">
        <v>77</v>
      </c>
      <c r="B81" s="18"/>
      <c r="C81" s="40">
        <v>0</v>
      </c>
      <c r="D81" s="41">
        <v>0</v>
      </c>
      <c r="E81" s="41">
        <v>0</v>
      </c>
      <c r="F81" s="41">
        <v>0</v>
      </c>
      <c r="G81" s="42">
        <v>0</v>
      </c>
      <c r="H81" s="40">
        <v>0</v>
      </c>
      <c r="I81" s="125">
        <v>0</v>
      </c>
      <c r="J81" s="125">
        <v>0</v>
      </c>
      <c r="K81" s="125">
        <v>0</v>
      </c>
      <c r="L81" s="126">
        <v>0</v>
      </c>
      <c r="N81" s="107"/>
      <c r="O81" s="108"/>
      <c r="P81" s="108"/>
      <c r="Q81" s="109"/>
      <c r="R81" s="107"/>
      <c r="S81" s="108"/>
      <c r="T81" s="108"/>
      <c r="U81" s="108"/>
      <c r="V81" s="109"/>
    </row>
    <row r="82" spans="1:22" ht="13.2" x14ac:dyDescent="0.25">
      <c r="A82" s="30" t="s">
        <v>78</v>
      </c>
      <c r="B82" s="18"/>
      <c r="C82" s="40">
        <v>13723.6</v>
      </c>
      <c r="D82" s="41">
        <v>6695.65</v>
      </c>
      <c r="E82" s="41">
        <v>0</v>
      </c>
      <c r="F82" s="41">
        <v>1940</v>
      </c>
      <c r="G82" s="42">
        <v>7805</v>
      </c>
      <c r="H82" s="40">
        <v>30000</v>
      </c>
      <c r="I82" s="125">
        <v>31500</v>
      </c>
      <c r="J82" s="125">
        <v>0</v>
      </c>
      <c r="K82" s="125">
        <v>0</v>
      </c>
      <c r="L82" s="126">
        <v>0</v>
      </c>
      <c r="N82" s="107">
        <f t="shared" si="19"/>
        <v>-0.51210688157626283</v>
      </c>
      <c r="O82" s="108">
        <f t="shared" si="19"/>
        <v>-1</v>
      </c>
      <c r="P82" s="108" t="e">
        <f t="shared" si="19"/>
        <v>#DIV/0!</v>
      </c>
      <c r="Q82" s="109">
        <f t="shared" si="19"/>
        <v>3.0231958762886597</v>
      </c>
      <c r="R82" s="107">
        <f t="shared" si="19"/>
        <v>2.8436899423446507</v>
      </c>
      <c r="S82" s="108">
        <f t="shared" si="19"/>
        <v>5.0000000000000044E-2</v>
      </c>
      <c r="T82" s="108">
        <f t="shared" si="19"/>
        <v>-1</v>
      </c>
      <c r="U82" s="108" t="e">
        <f t="shared" si="19"/>
        <v>#DIV/0!</v>
      </c>
      <c r="V82" s="109" t="e">
        <f t="shared" si="19"/>
        <v>#DIV/0!</v>
      </c>
    </row>
    <row r="83" spans="1:22" ht="13.2" x14ac:dyDescent="0.25">
      <c r="A83" s="30" t="s">
        <v>79</v>
      </c>
      <c r="B83" s="18"/>
      <c r="C83" s="40">
        <v>4348.0200000000004</v>
      </c>
      <c r="D83" s="41">
        <v>7477.5</v>
      </c>
      <c r="E83" s="41">
        <v>8801</v>
      </c>
      <c r="F83" s="41">
        <v>26782.84</v>
      </c>
      <c r="G83" s="42">
        <v>9842</v>
      </c>
      <c r="H83" s="40">
        <v>7000</v>
      </c>
      <c r="I83" s="125">
        <v>7000</v>
      </c>
      <c r="J83" s="125">
        <v>7140</v>
      </c>
      <c r="K83" s="125">
        <v>7282.8</v>
      </c>
      <c r="L83" s="126">
        <v>7428.4560000000001</v>
      </c>
      <c r="N83" s="107">
        <f t="shared" si="19"/>
        <v>0.71974829922585437</v>
      </c>
      <c r="O83" s="108">
        <f t="shared" si="19"/>
        <v>0.17699765964560354</v>
      </c>
      <c r="P83" s="108">
        <f t="shared" si="19"/>
        <v>2.043158731962277</v>
      </c>
      <c r="Q83" s="109">
        <f t="shared" si="19"/>
        <v>-0.63252590091267391</v>
      </c>
      <c r="R83" s="107">
        <f t="shared" si="19"/>
        <v>-0.28876244665718354</v>
      </c>
      <c r="S83" s="108">
        <f t="shared" si="19"/>
        <v>0</v>
      </c>
      <c r="T83" s="108">
        <f t="shared" si="19"/>
        <v>2.0000000000000018E-2</v>
      </c>
      <c r="U83" s="108">
        <f t="shared" si="19"/>
        <v>2.0000000000000018E-2</v>
      </c>
      <c r="V83" s="109">
        <f t="shared" si="19"/>
        <v>2.0000000000000018E-2</v>
      </c>
    </row>
    <row r="84" spans="1:22" ht="13.2" x14ac:dyDescent="0.25">
      <c r="A84" s="30" t="s">
        <v>80</v>
      </c>
      <c r="B84" s="18"/>
      <c r="C84" s="40">
        <v>2593.7800000000002</v>
      </c>
      <c r="D84" s="41">
        <v>1706.64</v>
      </c>
      <c r="E84" s="41">
        <v>18323.589466666668</v>
      </c>
      <c r="F84" s="41">
        <v>19362.892</v>
      </c>
      <c r="G84" s="42">
        <v>20788</v>
      </c>
      <c r="H84" s="40">
        <v>32500</v>
      </c>
      <c r="I84" s="125">
        <v>11000</v>
      </c>
      <c r="J84" s="125">
        <v>11220</v>
      </c>
      <c r="K84" s="125">
        <v>11444.4</v>
      </c>
      <c r="L84" s="126">
        <v>11673.288</v>
      </c>
      <c r="N84" s="107">
        <f t="shared" si="19"/>
        <v>-0.34202592355558303</v>
      </c>
      <c r="O84" s="108">
        <f t="shared" si="19"/>
        <v>9.7366459632181748</v>
      </c>
      <c r="P84" s="108">
        <f t="shared" si="19"/>
        <v>5.6719374510326048E-2</v>
      </c>
      <c r="Q84" s="109">
        <f t="shared" si="19"/>
        <v>7.359995603962477E-2</v>
      </c>
      <c r="R84" s="107">
        <f t="shared" si="19"/>
        <v>0.56340196267077158</v>
      </c>
      <c r="S84" s="108">
        <f t="shared" si="19"/>
        <v>-0.66153846153846152</v>
      </c>
      <c r="T84" s="108">
        <f t="shared" si="19"/>
        <v>2.0000000000000018E-2</v>
      </c>
      <c r="U84" s="108">
        <f t="shared" si="19"/>
        <v>2.0000000000000018E-2</v>
      </c>
      <c r="V84" s="109">
        <f t="shared" si="19"/>
        <v>2.0000000000000018E-2</v>
      </c>
    </row>
    <row r="85" spans="1:22" ht="13.2" x14ac:dyDescent="0.25">
      <c r="A85" s="30" t="s">
        <v>81</v>
      </c>
      <c r="B85" s="18"/>
      <c r="C85" s="40">
        <v>108997.45</v>
      </c>
      <c r="D85" s="41">
        <v>100155.78</v>
      </c>
      <c r="E85" s="41">
        <v>161797.28</v>
      </c>
      <c r="F85" s="41">
        <v>189159.17</v>
      </c>
      <c r="G85" s="42">
        <v>247522</v>
      </c>
      <c r="H85" s="40">
        <v>417519.81</v>
      </c>
      <c r="I85" s="125">
        <v>245437.5</v>
      </c>
      <c r="J85" s="125">
        <v>250346.25</v>
      </c>
      <c r="K85" s="125">
        <v>255353.17500000005</v>
      </c>
      <c r="L85" s="126">
        <v>260460.23849999998</v>
      </c>
      <c r="N85" s="107">
        <f t="shared" si="19"/>
        <v>-8.1118136249976436E-2</v>
      </c>
      <c r="O85" s="108">
        <f t="shared" si="19"/>
        <v>0.61545624226579831</v>
      </c>
      <c r="P85" s="108">
        <f t="shared" si="19"/>
        <v>0.1691121754333571</v>
      </c>
      <c r="Q85" s="109">
        <f t="shared" si="19"/>
        <v>0.30853820092359241</v>
      </c>
      <c r="R85" s="107">
        <f t="shared" si="19"/>
        <v>0.68679878960254026</v>
      </c>
      <c r="S85" s="108">
        <f t="shared" si="19"/>
        <v>-0.41215364128470933</v>
      </c>
      <c r="T85" s="108">
        <f t="shared" si="19"/>
        <v>2.0000000000000018E-2</v>
      </c>
      <c r="U85" s="108">
        <f t="shared" si="19"/>
        <v>2.000000000000024E-2</v>
      </c>
      <c r="V85" s="109">
        <f t="shared" si="19"/>
        <v>1.9999999999999796E-2</v>
      </c>
    </row>
    <row r="86" spans="1:22" ht="13.2" x14ac:dyDescent="0.25">
      <c r="A86" s="30" t="s">
        <v>82</v>
      </c>
      <c r="B86" s="18"/>
      <c r="C86" s="40">
        <v>0</v>
      </c>
      <c r="D86" s="41">
        <v>0</v>
      </c>
      <c r="E86" s="41">
        <v>0</v>
      </c>
      <c r="F86" s="41">
        <v>0</v>
      </c>
      <c r="G86" s="42">
        <v>0</v>
      </c>
      <c r="H86" s="40">
        <v>0</v>
      </c>
      <c r="I86" s="125">
        <v>0</v>
      </c>
      <c r="J86" s="125">
        <v>0</v>
      </c>
      <c r="K86" s="125">
        <v>0</v>
      </c>
      <c r="L86" s="126">
        <v>0</v>
      </c>
      <c r="N86" s="107"/>
      <c r="O86" s="108"/>
      <c r="P86" s="108"/>
      <c r="Q86" s="109"/>
      <c r="R86" s="107"/>
      <c r="S86" s="108"/>
      <c r="T86" s="108"/>
      <c r="U86" s="108"/>
      <c r="V86" s="109"/>
    </row>
    <row r="87" spans="1:22" ht="13.2" x14ac:dyDescent="0.25">
      <c r="A87" s="30" t="s">
        <v>83</v>
      </c>
      <c r="B87" s="18"/>
      <c r="C87" s="40">
        <v>0</v>
      </c>
      <c r="D87" s="41">
        <v>0</v>
      </c>
      <c r="E87" s="41">
        <v>0</v>
      </c>
      <c r="F87" s="41">
        <v>0</v>
      </c>
      <c r="G87" s="42">
        <v>0</v>
      </c>
      <c r="H87" s="40">
        <v>0</v>
      </c>
      <c r="I87" s="125">
        <v>0</v>
      </c>
      <c r="J87" s="125">
        <v>0</v>
      </c>
      <c r="K87" s="125">
        <v>0</v>
      </c>
      <c r="L87" s="126">
        <v>0</v>
      </c>
      <c r="N87" s="107"/>
      <c r="O87" s="108"/>
      <c r="P87" s="108"/>
      <c r="Q87" s="109"/>
      <c r="R87" s="107"/>
      <c r="S87" s="108"/>
      <c r="T87" s="108"/>
      <c r="U87" s="108"/>
      <c r="V87" s="109"/>
    </row>
    <row r="88" spans="1:22" ht="13.2" x14ac:dyDescent="0.25">
      <c r="A88" s="30" t="s">
        <v>84</v>
      </c>
      <c r="B88" s="18"/>
      <c r="C88" s="40">
        <v>86778.61</v>
      </c>
      <c r="D88" s="41">
        <v>98600.09</v>
      </c>
      <c r="E88" s="41">
        <v>95450.947199999995</v>
      </c>
      <c r="F88" s="41">
        <v>115886.19</v>
      </c>
      <c r="G88" s="42">
        <v>74452</v>
      </c>
      <c r="H88" s="40">
        <v>186599.25</v>
      </c>
      <c r="I88" s="125">
        <v>124883.98999999999</v>
      </c>
      <c r="J88" s="125">
        <v>127381.6698</v>
      </c>
      <c r="K88" s="125">
        <v>129929.30319599999</v>
      </c>
      <c r="L88" s="126">
        <v>132527.88925991999</v>
      </c>
      <c r="N88" s="107">
        <f t="shared" si="19"/>
        <v>0.13622573581208552</v>
      </c>
      <c r="O88" s="108">
        <f t="shared" si="19"/>
        <v>-3.1938538798494065E-2</v>
      </c>
      <c r="P88" s="108">
        <f t="shared" si="19"/>
        <v>0.21409156639568705</v>
      </c>
      <c r="Q88" s="109">
        <f t="shared" si="19"/>
        <v>-0.357542085040504</v>
      </c>
      <c r="R88" s="107">
        <f t="shared" si="19"/>
        <v>1.5063027185300597</v>
      </c>
      <c r="S88" s="108">
        <f t="shared" si="19"/>
        <v>-0.33073691346562228</v>
      </c>
      <c r="T88" s="108">
        <f t="shared" si="19"/>
        <v>2.0000000000000018E-2</v>
      </c>
      <c r="U88" s="108">
        <f t="shared" si="19"/>
        <v>2.0000000000000018E-2</v>
      </c>
      <c r="V88" s="109">
        <f t="shared" si="19"/>
        <v>2.0000000000000018E-2</v>
      </c>
    </row>
    <row r="89" spans="1:22" ht="13.2" x14ac:dyDescent="0.25">
      <c r="A89" s="30" t="s">
        <v>85</v>
      </c>
      <c r="B89" s="18"/>
      <c r="C89" s="40">
        <v>64376.73</v>
      </c>
      <c r="D89" s="41">
        <v>81054.430000000008</v>
      </c>
      <c r="E89" s="41">
        <v>93952.17</v>
      </c>
      <c r="F89" s="41">
        <v>82611.070000000007</v>
      </c>
      <c r="G89" s="42">
        <f>62616+168</f>
        <v>62784</v>
      </c>
      <c r="H89" s="40">
        <v>105191.41</v>
      </c>
      <c r="I89" s="125">
        <v>120100</v>
      </c>
      <c r="J89" s="125">
        <v>122502</v>
      </c>
      <c r="K89" s="125">
        <v>124952.04000000002</v>
      </c>
      <c r="L89" s="126">
        <v>127451.0808</v>
      </c>
      <c r="N89" s="107">
        <f t="shared" si="19"/>
        <v>0.25906410592771656</v>
      </c>
      <c r="O89" s="108">
        <f t="shared" si="19"/>
        <v>0.15912443033650336</v>
      </c>
      <c r="P89" s="108">
        <f t="shared" si="19"/>
        <v>-0.12071142156695258</v>
      </c>
      <c r="Q89" s="109">
        <f t="shared" si="19"/>
        <v>-0.24000500175097605</v>
      </c>
      <c r="R89" s="107">
        <f t="shared" si="19"/>
        <v>0.67544931829765553</v>
      </c>
      <c r="S89" s="108">
        <f t="shared" si="19"/>
        <v>0.14172820765497862</v>
      </c>
      <c r="T89" s="108">
        <f t="shared" si="19"/>
        <v>2.0000000000000018E-2</v>
      </c>
      <c r="U89" s="108">
        <f t="shared" si="19"/>
        <v>2.000000000000024E-2</v>
      </c>
      <c r="V89" s="109">
        <f t="shared" si="19"/>
        <v>1.9999999999999796E-2</v>
      </c>
    </row>
    <row r="90" spans="1:22" ht="13.2" x14ac:dyDescent="0.25">
      <c r="A90" s="30" t="s">
        <v>86</v>
      </c>
      <c r="B90" s="18"/>
      <c r="C90" s="40">
        <v>57862.05</v>
      </c>
      <c r="D90" s="41">
        <v>64370.76</v>
      </c>
      <c r="E90" s="41">
        <f>44633.11+866</f>
        <v>45499.11</v>
      </c>
      <c r="F90" s="41">
        <f>151816.5+359</f>
        <v>152175.5</v>
      </c>
      <c r="G90" s="42">
        <f>139423+281</f>
        <v>139704</v>
      </c>
      <c r="H90" s="40">
        <v>158411</v>
      </c>
      <c r="I90" s="125">
        <v>140000</v>
      </c>
      <c r="J90" s="125">
        <v>142800</v>
      </c>
      <c r="K90" s="125">
        <v>145656</v>
      </c>
      <c r="L90" s="126">
        <v>148569.12</v>
      </c>
      <c r="N90" s="107">
        <f t="shared" si="19"/>
        <v>0.11248668168514597</v>
      </c>
      <c r="O90" s="108">
        <f t="shared" si="19"/>
        <v>-0.29317115410785888</v>
      </c>
      <c r="P90" s="108">
        <f t="shared" si="19"/>
        <v>2.3445819050086913</v>
      </c>
      <c r="Q90" s="109">
        <f t="shared" si="19"/>
        <v>-8.1954716757953849E-2</v>
      </c>
      <c r="R90" s="107">
        <f t="shared" si="19"/>
        <v>0.13390454102960536</v>
      </c>
      <c r="S90" s="108">
        <f t="shared" si="19"/>
        <v>-0.11622298956511856</v>
      </c>
      <c r="T90" s="108">
        <f t="shared" si="19"/>
        <v>2.0000000000000018E-2</v>
      </c>
      <c r="U90" s="108">
        <f t="shared" si="19"/>
        <v>2.0000000000000018E-2</v>
      </c>
      <c r="V90" s="109">
        <f t="shared" si="19"/>
        <v>2.0000000000000018E-2</v>
      </c>
    </row>
    <row r="91" spans="1:22" ht="13.8" thickBot="1" x14ac:dyDescent="0.3">
      <c r="A91" s="30" t="s">
        <v>87</v>
      </c>
      <c r="B91" s="18"/>
      <c r="C91" s="40">
        <v>0</v>
      </c>
      <c r="D91" s="41">
        <v>0</v>
      </c>
      <c r="E91" s="41">
        <v>0</v>
      </c>
      <c r="F91" s="41">
        <v>0</v>
      </c>
      <c r="G91" s="42">
        <v>0</v>
      </c>
      <c r="H91" s="43">
        <v>0</v>
      </c>
      <c r="I91" s="125">
        <v>0</v>
      </c>
      <c r="J91" s="125">
        <v>0</v>
      </c>
      <c r="K91" s="125">
        <v>0</v>
      </c>
      <c r="L91" s="126">
        <v>0</v>
      </c>
      <c r="N91" s="107"/>
      <c r="O91" s="108"/>
      <c r="P91" s="108"/>
      <c r="Q91" s="109"/>
      <c r="R91" s="107"/>
      <c r="S91" s="108"/>
      <c r="T91" s="108"/>
      <c r="U91" s="108"/>
      <c r="V91" s="109"/>
    </row>
    <row r="92" spans="1:22" ht="13.8" thickBot="1" x14ac:dyDescent="0.3">
      <c r="A92" s="49" t="s">
        <v>88</v>
      </c>
      <c r="B92" s="18"/>
      <c r="C92" s="86">
        <f>SUM(C72:C91)</f>
        <v>800253.84</v>
      </c>
      <c r="D92" s="87">
        <f>SUM(D72:D91)</f>
        <v>897538.0900000002</v>
      </c>
      <c r="E92" s="87">
        <f t="shared" ref="E92:F92" si="20">SUM(E72:E91)</f>
        <v>951169.51290450292</v>
      </c>
      <c r="F92" s="87">
        <f t="shared" si="20"/>
        <v>980234.27200000011</v>
      </c>
      <c r="G92" s="88">
        <f>SUM(G72:G91)</f>
        <v>1063496</v>
      </c>
      <c r="H92" s="86">
        <v>1504743.47</v>
      </c>
      <c r="I92" s="87">
        <f>SUM(I72:I91)</f>
        <v>1203229.1554</v>
      </c>
      <c r="J92" s="87">
        <f t="shared" ref="J92:K92" si="21">SUM(J72:J91)</f>
        <v>1193666.904108</v>
      </c>
      <c r="K92" s="87">
        <f t="shared" si="21"/>
        <v>1216043.4077901603</v>
      </c>
      <c r="L92" s="88">
        <f>SUM(L72:L91)</f>
        <v>1238867.4415459633</v>
      </c>
      <c r="N92" s="127">
        <f t="shared" si="19"/>
        <v>0.12156673937359708</v>
      </c>
      <c r="O92" s="128">
        <f t="shared" si="19"/>
        <v>5.9753924097530664E-2</v>
      </c>
      <c r="P92" s="128">
        <f t="shared" si="19"/>
        <v>3.0556865733369243E-2</v>
      </c>
      <c r="Q92" s="129">
        <f t="shared" si="19"/>
        <v>8.4940641618374224E-2</v>
      </c>
      <c r="R92" s="127">
        <f t="shared" si="19"/>
        <v>0.41490280170306226</v>
      </c>
      <c r="S92" s="128">
        <f t="shared" si="19"/>
        <v>-0.20037589171262526</v>
      </c>
      <c r="T92" s="128">
        <f t="shared" si="19"/>
        <v>-7.9471572385737543E-3</v>
      </c>
      <c r="U92" s="128">
        <f t="shared" si="19"/>
        <v>1.8746020020452558E-2</v>
      </c>
      <c r="V92" s="129">
        <f t="shared" si="19"/>
        <v>1.8769094597765879E-2</v>
      </c>
    </row>
    <row r="93" spans="1:22" ht="13.2" x14ac:dyDescent="0.25">
      <c r="A93" s="50"/>
      <c r="B93" s="18"/>
      <c r="C93" s="98"/>
      <c r="D93" s="99"/>
      <c r="E93" s="99"/>
      <c r="F93" s="99"/>
      <c r="G93" s="130"/>
      <c r="H93" s="100"/>
      <c r="I93" s="100"/>
      <c r="J93" s="100"/>
      <c r="K93" s="100"/>
      <c r="L93" s="100"/>
      <c r="P93" s="131"/>
      <c r="Q93" s="131"/>
      <c r="R93" s="131"/>
      <c r="S93" s="131"/>
      <c r="T93" s="131"/>
      <c r="U93" s="131"/>
      <c r="V93" s="131"/>
    </row>
    <row r="94" spans="1:22" ht="13.2" x14ac:dyDescent="0.25">
      <c r="A94" s="50"/>
      <c r="B94" s="18"/>
      <c r="C94" s="98"/>
      <c r="D94" s="99"/>
      <c r="E94" s="99"/>
      <c r="F94" s="99"/>
      <c r="G94" s="130"/>
      <c r="H94" s="100"/>
      <c r="I94" s="100"/>
      <c r="J94" s="100"/>
      <c r="K94" s="100"/>
      <c r="L94" s="100"/>
    </row>
    <row r="95" spans="1:22" ht="13.8" thickBot="1" x14ac:dyDescent="0.3">
      <c r="A95" s="95" t="s">
        <v>89</v>
      </c>
      <c r="B95" s="92"/>
      <c r="C95" s="5"/>
      <c r="D95" s="5"/>
      <c r="E95" s="5"/>
      <c r="F95" s="5"/>
      <c r="G95" s="8"/>
    </row>
    <row r="96" spans="1:22" ht="13.2" x14ac:dyDescent="0.25">
      <c r="A96" s="17" t="s">
        <v>90</v>
      </c>
      <c r="B96" s="92"/>
      <c r="C96" s="132">
        <f t="shared" ref="C96:G96" si="22">+C28/C65</f>
        <v>11165.13205144008</v>
      </c>
      <c r="D96" s="133">
        <f t="shared" si="22"/>
        <v>11138.67577398755</v>
      </c>
      <c r="E96" s="133">
        <f t="shared" si="22"/>
        <v>12307.939626443462</v>
      </c>
      <c r="F96" s="133">
        <f t="shared" si="22"/>
        <v>12743.319305651275</v>
      </c>
      <c r="G96" s="134">
        <f t="shared" si="22"/>
        <v>15419.669902912621</v>
      </c>
      <c r="H96" s="132">
        <f>+H28/H65</f>
        <v>19398.241827514117</v>
      </c>
      <c r="I96" s="133">
        <f>+I28/I65</f>
        <v>17802.410730608106</v>
      </c>
      <c r="J96" s="133">
        <f>+J28/J65</f>
        <v>16749.325591394751</v>
      </c>
      <c r="K96" s="133">
        <f>+K28/K65</f>
        <v>16328.54849626278</v>
      </c>
      <c r="L96" s="134">
        <f>+L28/L65</f>
        <v>16090.129000619114</v>
      </c>
    </row>
    <row r="97" spans="1:12" ht="13.2" x14ac:dyDescent="0.25">
      <c r="A97" s="17" t="s">
        <v>91</v>
      </c>
      <c r="B97" s="28"/>
      <c r="C97" s="135">
        <f t="shared" ref="C97:L97" si="23">-(C41+C42)</f>
        <v>0</v>
      </c>
      <c r="D97" s="136">
        <f t="shared" si="23"/>
        <v>0</v>
      </c>
      <c r="E97" s="136">
        <f t="shared" si="23"/>
        <v>0</v>
      </c>
      <c r="F97" s="136">
        <f t="shared" si="23"/>
        <v>42896.520000000004</v>
      </c>
      <c r="G97" s="137">
        <f t="shared" si="23"/>
        <v>41496</v>
      </c>
      <c r="H97" s="135">
        <f t="shared" si="23"/>
        <v>0</v>
      </c>
      <c r="I97" s="136">
        <f t="shared" si="23"/>
        <v>0</v>
      </c>
      <c r="J97" s="136">
        <f t="shared" si="23"/>
        <v>0</v>
      </c>
      <c r="K97" s="136">
        <f t="shared" si="23"/>
        <v>0</v>
      </c>
      <c r="L97" s="137">
        <f t="shared" si="23"/>
        <v>0</v>
      </c>
    </row>
    <row r="98" spans="1:12" ht="13.2" x14ac:dyDescent="0.25">
      <c r="A98" s="17" t="s">
        <v>92</v>
      </c>
      <c r="B98" s="18"/>
      <c r="C98" s="138">
        <f t="shared" ref="C98:L98" si="24">IFERROR((C32+SUM(C35:C39))/C97,0)</f>
        <v>0</v>
      </c>
      <c r="D98" s="139">
        <f t="shared" si="24"/>
        <v>0</v>
      </c>
      <c r="E98" s="139">
        <f t="shared" si="24"/>
        <v>0</v>
      </c>
      <c r="F98" s="139">
        <f t="shared" si="24"/>
        <v>0.24548541466766996</v>
      </c>
      <c r="G98" s="140">
        <f t="shared" si="24"/>
        <v>1.4162569886254097</v>
      </c>
      <c r="H98" s="138">
        <f t="shared" si="24"/>
        <v>0</v>
      </c>
      <c r="I98" s="139">
        <f t="shared" si="24"/>
        <v>0</v>
      </c>
      <c r="J98" s="139">
        <f t="shared" si="24"/>
        <v>0</v>
      </c>
      <c r="K98" s="139">
        <f t="shared" si="24"/>
        <v>0</v>
      </c>
      <c r="L98" s="140">
        <f t="shared" si="24"/>
        <v>0</v>
      </c>
    </row>
    <row r="99" spans="1:12" ht="13.2" x14ac:dyDescent="0.25">
      <c r="A99" s="17" t="s">
        <v>93</v>
      </c>
      <c r="B99" s="18"/>
      <c r="C99" s="141">
        <v>0</v>
      </c>
      <c r="D99" s="142">
        <f t="shared" ref="D99:L99" si="25">IFERROR((D66/C66)-1,0)</f>
        <v>-0.1428571428571429</v>
      </c>
      <c r="E99" s="142">
        <f t="shared" si="25"/>
        <v>-4.166666666666663E-2</v>
      </c>
      <c r="F99" s="142">
        <f t="shared" si="25"/>
        <v>8.6956521739130377E-2</v>
      </c>
      <c r="G99" s="143">
        <f t="shared" si="25"/>
        <v>-0.19999999999999996</v>
      </c>
      <c r="H99" s="141">
        <f t="shared" si="25"/>
        <v>0.10000000000000009</v>
      </c>
      <c r="I99" s="142">
        <f t="shared" si="25"/>
        <v>9.0909090909090828E-2</v>
      </c>
      <c r="J99" s="142">
        <f t="shared" si="25"/>
        <v>0</v>
      </c>
      <c r="K99" s="142">
        <f t="shared" si="25"/>
        <v>0</v>
      </c>
      <c r="L99" s="143">
        <f t="shared" si="25"/>
        <v>0</v>
      </c>
    </row>
    <row r="100" spans="1:12" ht="13.2" x14ac:dyDescent="0.25">
      <c r="A100" s="17" t="s">
        <v>94</v>
      </c>
      <c r="B100" s="18"/>
      <c r="C100" s="141">
        <v>0</v>
      </c>
      <c r="D100" s="142">
        <f t="shared" ref="D100:L100" si="26">IFERROR((D25/C25)-1,0)</f>
        <v>0</v>
      </c>
      <c r="E100" s="142">
        <f t="shared" si="26"/>
        <v>0</v>
      </c>
      <c r="F100" s="142">
        <f t="shared" si="26"/>
        <v>0</v>
      </c>
      <c r="G100" s="143">
        <f t="shared" si="26"/>
        <v>0</v>
      </c>
      <c r="H100" s="141">
        <f t="shared" si="26"/>
        <v>0</v>
      </c>
      <c r="I100" s="142">
        <f t="shared" si="26"/>
        <v>0</v>
      </c>
      <c r="J100" s="142">
        <f t="shared" si="26"/>
        <v>0</v>
      </c>
      <c r="K100" s="142">
        <f t="shared" si="26"/>
        <v>0</v>
      </c>
      <c r="L100" s="143">
        <f t="shared" si="26"/>
        <v>0</v>
      </c>
    </row>
    <row r="101" spans="1:12" ht="13.2" x14ac:dyDescent="0.25">
      <c r="A101" s="17" t="s">
        <v>95</v>
      </c>
      <c r="B101" s="18"/>
      <c r="C101" s="141">
        <v>0</v>
      </c>
      <c r="D101" s="142">
        <f t="shared" ref="D101:L101" si="27">IFERROR((D18/C18)-1,0)</f>
        <v>0</v>
      </c>
      <c r="E101" s="142">
        <f t="shared" si="27"/>
        <v>0</v>
      </c>
      <c r="F101" s="142">
        <f t="shared" si="27"/>
        <v>0</v>
      </c>
      <c r="G101" s="143">
        <f t="shared" si="27"/>
        <v>0</v>
      </c>
      <c r="H101" s="141">
        <f t="shared" si="27"/>
        <v>0</v>
      </c>
      <c r="I101" s="142">
        <f t="shared" si="27"/>
        <v>0</v>
      </c>
      <c r="J101" s="142">
        <f t="shared" si="27"/>
        <v>0</v>
      </c>
      <c r="K101" s="142">
        <f t="shared" si="27"/>
        <v>0</v>
      </c>
      <c r="L101" s="143">
        <f t="shared" si="27"/>
        <v>0</v>
      </c>
    </row>
    <row r="102" spans="1:12" ht="13.2" x14ac:dyDescent="0.25">
      <c r="A102" s="17" t="s">
        <v>96</v>
      </c>
      <c r="B102" s="18"/>
      <c r="C102" s="141">
        <v>0</v>
      </c>
      <c r="D102" s="142">
        <f t="shared" ref="D102:L102" si="28">IFERROR((D45/C45)-1,0)</f>
        <v>0</v>
      </c>
      <c r="E102" s="142">
        <f t="shared" si="28"/>
        <v>0</v>
      </c>
      <c r="F102" s="142">
        <f t="shared" si="28"/>
        <v>0</v>
      </c>
      <c r="G102" s="143">
        <f t="shared" si="28"/>
        <v>0</v>
      </c>
      <c r="H102" s="141">
        <f t="shared" si="28"/>
        <v>0</v>
      </c>
      <c r="I102" s="142">
        <f t="shared" si="28"/>
        <v>0</v>
      </c>
      <c r="J102" s="142">
        <f t="shared" si="28"/>
        <v>0</v>
      </c>
      <c r="K102" s="142">
        <f t="shared" si="28"/>
        <v>0</v>
      </c>
      <c r="L102" s="143">
        <f t="shared" si="28"/>
        <v>0</v>
      </c>
    </row>
    <row r="103" spans="1:12" ht="13.8" thickBot="1" x14ac:dyDescent="0.3">
      <c r="A103" s="5" t="s">
        <v>97</v>
      </c>
      <c r="B103" s="18"/>
      <c r="C103" s="144">
        <f t="shared" ref="C103:L103" si="29">IFERROR(C52/(C29+SUM(C41:C42)/365),0)</f>
        <v>0</v>
      </c>
      <c r="D103" s="145">
        <f t="shared" si="29"/>
        <v>0</v>
      </c>
      <c r="E103" s="145">
        <f t="shared" si="29"/>
        <v>0</v>
      </c>
      <c r="F103" s="145">
        <f t="shared" si="29"/>
        <v>0</v>
      </c>
      <c r="G103" s="146">
        <f t="shared" si="29"/>
        <v>0</v>
      </c>
      <c r="H103" s="144">
        <f t="shared" si="29"/>
        <v>0</v>
      </c>
      <c r="I103" s="145">
        <f t="shared" si="29"/>
        <v>0</v>
      </c>
      <c r="J103" s="145">
        <f t="shared" si="29"/>
        <v>0</v>
      </c>
      <c r="K103" s="145">
        <f t="shared" si="29"/>
        <v>0</v>
      </c>
      <c r="L103" s="146">
        <f t="shared" si="29"/>
        <v>0</v>
      </c>
    </row>
    <row r="104" spans="1:12" ht="13.2" x14ac:dyDescent="0.25">
      <c r="A104" s="5"/>
      <c r="B104" s="18"/>
      <c r="C104" s="5"/>
      <c r="D104" s="5"/>
      <c r="E104" s="5"/>
      <c r="F104" s="5"/>
      <c r="G104" s="5"/>
      <c r="H104" s="5"/>
      <c r="I104" s="5"/>
      <c r="J104" s="5"/>
      <c r="K104" s="5"/>
      <c r="L104" s="147"/>
    </row>
    <row r="105" spans="1:12" ht="13.8" thickBot="1" x14ac:dyDescent="0.3">
      <c r="A105" s="28" t="s">
        <v>98</v>
      </c>
      <c r="B105" s="18"/>
      <c r="C105" s="5"/>
      <c r="D105" s="5"/>
      <c r="E105" s="5"/>
      <c r="F105" s="5"/>
      <c r="G105" s="5"/>
      <c r="H105" s="5"/>
      <c r="I105" s="5"/>
      <c r="J105" s="5"/>
      <c r="K105" s="5"/>
      <c r="L105" s="147"/>
    </row>
    <row r="106" spans="1:12" ht="13.2" x14ac:dyDescent="0.25">
      <c r="A106" s="18" t="s">
        <v>99</v>
      </c>
      <c r="B106" s="18"/>
      <c r="C106" s="148">
        <f t="shared" ref="C106:L106" si="30">C77/C$65</f>
        <v>0</v>
      </c>
      <c r="D106" s="149">
        <f t="shared" si="30"/>
        <v>0</v>
      </c>
      <c r="E106" s="149">
        <f t="shared" si="30"/>
        <v>0</v>
      </c>
      <c r="F106" s="149">
        <f t="shared" si="30"/>
        <v>0</v>
      </c>
      <c r="G106" s="150">
        <f t="shared" si="30"/>
        <v>0</v>
      </c>
      <c r="H106" s="151">
        <f t="shared" si="30"/>
        <v>0</v>
      </c>
      <c r="I106" s="149">
        <f t="shared" si="30"/>
        <v>0</v>
      </c>
      <c r="J106" s="149">
        <f t="shared" si="30"/>
        <v>0</v>
      </c>
      <c r="K106" s="149">
        <f t="shared" si="30"/>
        <v>0</v>
      </c>
      <c r="L106" s="150">
        <f t="shared" si="30"/>
        <v>0</v>
      </c>
    </row>
    <row r="107" spans="1:12" ht="13.2" x14ac:dyDescent="0.25">
      <c r="A107" s="18" t="s">
        <v>100</v>
      </c>
      <c r="B107" s="18"/>
      <c r="C107" s="152">
        <f t="shared" ref="C107:L107" si="31">+C$20/C$65</f>
        <v>5580.2404782447938</v>
      </c>
      <c r="D107" s="153">
        <f t="shared" si="31"/>
        <v>5624.0729124565496</v>
      </c>
      <c r="E107" s="153">
        <f t="shared" si="31"/>
        <v>5336.667286677517</v>
      </c>
      <c r="F107" s="153">
        <f t="shared" si="31"/>
        <v>6034.383356305997</v>
      </c>
      <c r="G107" s="154">
        <f t="shared" si="31"/>
        <v>7455.0242718446598</v>
      </c>
      <c r="H107" s="155">
        <f t="shared" si="31"/>
        <v>9104.173956594328</v>
      </c>
      <c r="I107" s="153">
        <f t="shared" si="31"/>
        <v>8843.7959909909914</v>
      </c>
      <c r="J107" s="153">
        <f t="shared" si="31"/>
        <v>8505.9072987394975</v>
      </c>
      <c r="K107" s="153">
        <f t="shared" si="31"/>
        <v>8432.0564373830657</v>
      </c>
      <c r="L107" s="154">
        <f t="shared" si="31"/>
        <v>8282.5941036694476</v>
      </c>
    </row>
    <row r="108" spans="1:12" x14ac:dyDescent="0.3">
      <c r="A108" s="18" t="s">
        <v>101</v>
      </c>
      <c r="C108" s="152">
        <f t="shared" ref="C108:L108" si="32">(C$77+C$20)/C$65</f>
        <v>5580.2404782447938</v>
      </c>
      <c r="D108" s="153">
        <f t="shared" si="32"/>
        <v>5624.0729124565496</v>
      </c>
      <c r="E108" s="153">
        <f t="shared" si="32"/>
        <v>5336.667286677517</v>
      </c>
      <c r="F108" s="153">
        <f t="shared" si="32"/>
        <v>6034.383356305997</v>
      </c>
      <c r="G108" s="154">
        <f t="shared" si="32"/>
        <v>7455.0242718446598</v>
      </c>
      <c r="H108" s="155">
        <f t="shared" si="32"/>
        <v>9104.173956594328</v>
      </c>
      <c r="I108" s="153">
        <f t="shared" si="32"/>
        <v>8843.7959909909914</v>
      </c>
      <c r="J108" s="153">
        <f t="shared" si="32"/>
        <v>8505.9072987394975</v>
      </c>
      <c r="K108" s="153">
        <f t="shared" si="32"/>
        <v>8432.0564373830657</v>
      </c>
      <c r="L108" s="154">
        <f t="shared" si="32"/>
        <v>8282.5941036694476</v>
      </c>
    </row>
    <row r="109" spans="1:12" x14ac:dyDescent="0.3">
      <c r="A109" s="18" t="s">
        <v>102</v>
      </c>
      <c r="C109" s="152">
        <f t="shared" ref="C109:L109" si="33">C20/SUM(C66:C68)</f>
        <v>35741.4402631579</v>
      </c>
      <c r="D109" s="153">
        <f t="shared" si="33"/>
        <v>39757.374857142837</v>
      </c>
      <c r="E109" s="153">
        <f t="shared" si="33"/>
        <v>40505.304705882358</v>
      </c>
      <c r="F109" s="153">
        <f t="shared" si="33"/>
        <v>35921.60102564103</v>
      </c>
      <c r="G109" s="154">
        <f t="shared" si="33"/>
        <v>51191.166666666664</v>
      </c>
      <c r="H109" s="155">
        <f t="shared" si="33"/>
        <v>57839.093030303062</v>
      </c>
      <c r="I109" s="153">
        <f t="shared" si="33"/>
        <v>54536.741944444446</v>
      </c>
      <c r="J109" s="153">
        <f t="shared" si="33"/>
        <v>56233.49825277779</v>
      </c>
      <c r="K109" s="153">
        <f t="shared" si="33"/>
        <v>58087.499901972231</v>
      </c>
      <c r="L109" s="154">
        <f t="shared" si="33"/>
        <v>58668.374900991927</v>
      </c>
    </row>
    <row r="110" spans="1:12" x14ac:dyDescent="0.3">
      <c r="A110" s="18" t="s">
        <v>103</v>
      </c>
      <c r="C110" s="152">
        <f t="shared" ref="C110:L110" si="34">+C$21/C$65</f>
        <v>1440.2092115534742</v>
      </c>
      <c r="D110" s="153">
        <f t="shared" si="34"/>
        <v>1498.9054239754264</v>
      </c>
      <c r="E110" s="153">
        <f t="shared" si="34"/>
        <v>1197.7834999612494</v>
      </c>
      <c r="F110" s="153">
        <f t="shared" si="34"/>
        <v>1524.4306512749833</v>
      </c>
      <c r="G110" s="154">
        <f t="shared" si="34"/>
        <v>1798.1699029126214</v>
      </c>
      <c r="H110" s="155">
        <f t="shared" si="34"/>
        <v>2317.1833013991572</v>
      </c>
      <c r="I110" s="153">
        <f t="shared" si="34"/>
        <v>2242.4926067342344</v>
      </c>
      <c r="J110" s="153">
        <f t="shared" si="34"/>
        <v>2112.6541692518913</v>
      </c>
      <c r="K110" s="153">
        <f t="shared" si="34"/>
        <v>2047.7411661482643</v>
      </c>
      <c r="L110" s="154">
        <f t="shared" si="34"/>
        <v>2011.4439501835971</v>
      </c>
    </row>
    <row r="111" spans="1:12" x14ac:dyDescent="0.3">
      <c r="A111" s="18" t="s">
        <v>104</v>
      </c>
      <c r="C111" s="152">
        <f>+C$65/C$66</f>
        <v>8.692499999999999</v>
      </c>
      <c r="D111" s="153">
        <f t="shared" ref="D111:L111" si="35">+D$65/D$66</f>
        <v>10.309166666666666</v>
      </c>
      <c r="E111" s="153">
        <f t="shared" si="35"/>
        <v>11.22</v>
      </c>
      <c r="F111" s="153">
        <f t="shared" si="35"/>
        <v>9.2864000000000004</v>
      </c>
      <c r="G111" s="154">
        <f t="shared" si="35"/>
        <v>10.3</v>
      </c>
      <c r="H111" s="155">
        <f t="shared" si="35"/>
        <v>9.5295454545454543</v>
      </c>
      <c r="I111" s="153">
        <f t="shared" si="35"/>
        <v>9.25</v>
      </c>
      <c r="J111" s="153">
        <f t="shared" si="35"/>
        <v>9.9166666666666661</v>
      </c>
      <c r="K111" s="153">
        <f t="shared" si="35"/>
        <v>10.333333333333334</v>
      </c>
      <c r="L111" s="154">
        <f t="shared" si="35"/>
        <v>10.625</v>
      </c>
    </row>
    <row r="112" spans="1:12" x14ac:dyDescent="0.3">
      <c r="A112" s="18" t="s">
        <v>105</v>
      </c>
      <c r="C112" s="152">
        <f>+C$65/SUM(C$66:C$68)</f>
        <v>6.4049999999999994</v>
      </c>
      <c r="D112" s="153">
        <f t="shared" ref="D112:L112" si="36">+D$65/SUM(D$66:D$68)</f>
        <v>7.0691428571428565</v>
      </c>
      <c r="E112" s="153">
        <f t="shared" si="36"/>
        <v>7.59</v>
      </c>
      <c r="F112" s="153">
        <f t="shared" si="36"/>
        <v>5.9528205128205132</v>
      </c>
      <c r="G112" s="154">
        <f t="shared" si="36"/>
        <v>6.8666666666666663</v>
      </c>
      <c r="H112" s="155">
        <f t="shared" si="36"/>
        <v>6.3530303030303035</v>
      </c>
      <c r="I112" s="153">
        <f t="shared" si="36"/>
        <v>6.166666666666667</v>
      </c>
      <c r="J112" s="153">
        <f t="shared" si="36"/>
        <v>6.6111111111111107</v>
      </c>
      <c r="K112" s="153">
        <f t="shared" si="36"/>
        <v>6.8888888888888893</v>
      </c>
      <c r="L112" s="154">
        <f t="shared" si="36"/>
        <v>7.083333333333333</v>
      </c>
    </row>
    <row r="113" spans="1:12" x14ac:dyDescent="0.3">
      <c r="A113" s="18"/>
      <c r="C113" s="152"/>
      <c r="D113" s="153"/>
      <c r="E113" s="153"/>
      <c r="F113" s="153"/>
      <c r="G113" s="154"/>
      <c r="H113" s="155"/>
      <c r="I113" s="153"/>
      <c r="J113" s="153"/>
      <c r="K113" s="153"/>
      <c r="L113" s="154"/>
    </row>
    <row r="114" spans="1:12" x14ac:dyDescent="0.3">
      <c r="A114" s="5" t="s">
        <v>106</v>
      </c>
      <c r="C114" s="152">
        <f t="shared" ref="C114:L114" si="37">C17/C$65</f>
        <v>8457.3563827601793</v>
      </c>
      <c r="D114" s="153">
        <f t="shared" si="37"/>
        <v>9962.2373292377324</v>
      </c>
      <c r="E114" s="153">
        <f t="shared" si="37"/>
        <v>9906.5947454080433</v>
      </c>
      <c r="F114" s="153">
        <f t="shared" si="37"/>
        <v>10519.075249827703</v>
      </c>
      <c r="G114" s="154">
        <f t="shared" si="37"/>
        <v>11571.567961165048</v>
      </c>
      <c r="H114" s="155">
        <f t="shared" si="37"/>
        <v>16272.774463222297</v>
      </c>
      <c r="I114" s="153">
        <f t="shared" si="37"/>
        <v>16382.170588433124</v>
      </c>
      <c r="J114" s="153">
        <f t="shared" si="37"/>
        <v>13836.048085333652</v>
      </c>
      <c r="K114" s="153">
        <f t="shared" si="37"/>
        <v>13914.055882901941</v>
      </c>
      <c r="L114" s="154">
        <f t="shared" si="37"/>
        <v>14000.345094625542</v>
      </c>
    </row>
    <row r="115" spans="1:12" x14ac:dyDescent="0.3">
      <c r="A115" s="156" t="s">
        <v>107</v>
      </c>
      <c r="C115" s="152">
        <f t="shared" ref="C115:L115" si="38">C28/C$65</f>
        <v>11165.13205144008</v>
      </c>
      <c r="D115" s="153">
        <f t="shared" si="38"/>
        <v>11138.67577398755</v>
      </c>
      <c r="E115" s="153">
        <f t="shared" si="38"/>
        <v>12307.939626443462</v>
      </c>
      <c r="F115" s="153">
        <f t="shared" si="38"/>
        <v>12743.319305651275</v>
      </c>
      <c r="G115" s="154">
        <f t="shared" si="38"/>
        <v>15419.669902912621</v>
      </c>
      <c r="H115" s="155">
        <f t="shared" si="38"/>
        <v>19398.241827514117</v>
      </c>
      <c r="I115" s="153">
        <f t="shared" si="38"/>
        <v>17802.410730608106</v>
      </c>
      <c r="J115" s="153">
        <f t="shared" si="38"/>
        <v>16749.325591394751</v>
      </c>
      <c r="K115" s="153">
        <f t="shared" si="38"/>
        <v>16328.54849626278</v>
      </c>
      <c r="L115" s="154">
        <f t="shared" si="38"/>
        <v>16090.129000619114</v>
      </c>
    </row>
    <row r="116" spans="1:12" x14ac:dyDescent="0.3">
      <c r="A116" s="157" t="s">
        <v>108</v>
      </c>
      <c r="C116" s="158">
        <f>+C114-C115</f>
        <v>-2707.7756686799003</v>
      </c>
      <c r="D116" s="159">
        <f t="shared" ref="D116:L116" si="39">+D114-D115</f>
        <v>-1176.4384447498178</v>
      </c>
      <c r="E116" s="159">
        <f t="shared" si="39"/>
        <v>-2401.3448810354184</v>
      </c>
      <c r="F116" s="159">
        <f t="shared" si="39"/>
        <v>-2224.2440558235721</v>
      </c>
      <c r="G116" s="160">
        <f t="shared" si="39"/>
        <v>-3848.1019417475727</v>
      </c>
      <c r="H116" s="161">
        <f t="shared" si="39"/>
        <v>-3125.4673642918206</v>
      </c>
      <c r="I116" s="159">
        <f t="shared" si="39"/>
        <v>-1420.2401421749819</v>
      </c>
      <c r="J116" s="159">
        <f t="shared" si="39"/>
        <v>-2913.2775060610984</v>
      </c>
      <c r="K116" s="159">
        <f t="shared" si="39"/>
        <v>-2414.4926133608387</v>
      </c>
      <c r="L116" s="160">
        <f t="shared" si="39"/>
        <v>-2089.7839059935723</v>
      </c>
    </row>
    <row r="117" spans="1:12" x14ac:dyDescent="0.3">
      <c r="A117" s="18"/>
      <c r="C117" s="162"/>
      <c r="D117" s="163"/>
      <c r="E117" s="163"/>
      <c r="F117" s="163"/>
      <c r="G117" s="164"/>
      <c r="H117" s="165"/>
      <c r="I117" s="163"/>
      <c r="J117" s="163"/>
      <c r="K117" s="163"/>
      <c r="L117" s="164"/>
    </row>
    <row r="118" spans="1:12" x14ac:dyDescent="0.3">
      <c r="A118" s="5" t="s">
        <v>109</v>
      </c>
      <c r="C118" s="152">
        <f t="shared" ref="C118:L118" si="40">+SUM(C34:C39)/C65</f>
        <v>2645.6926332224002</v>
      </c>
      <c r="D118" s="153">
        <f t="shared" si="40"/>
        <v>3569.5560181068631</v>
      </c>
      <c r="E118" s="153">
        <f t="shared" si="40"/>
        <v>2475.6182283189955</v>
      </c>
      <c r="F118" s="153">
        <f t="shared" si="40"/>
        <v>3771.7160578911098</v>
      </c>
      <c r="G118" s="154">
        <f t="shared" si="40"/>
        <v>6609.0922330097092</v>
      </c>
      <c r="H118" s="155">
        <f t="shared" si="40"/>
        <v>4175.5810159790126</v>
      </c>
      <c r="I118" s="153">
        <f t="shared" si="40"/>
        <v>701.33333333333337</v>
      </c>
      <c r="J118" s="153">
        <f t="shared" si="40"/>
        <v>701.33333333333326</v>
      </c>
      <c r="K118" s="153">
        <f t="shared" si="40"/>
        <v>701.33333333333326</v>
      </c>
      <c r="L118" s="154">
        <f t="shared" si="40"/>
        <v>701.33333333333337</v>
      </c>
    </row>
    <row r="119" spans="1:12" x14ac:dyDescent="0.3">
      <c r="A119" s="18" t="s">
        <v>110</v>
      </c>
      <c r="C119" s="152">
        <f t="shared" ref="C119:L119" si="41">+SUM(C40:C43)/C65*-1</f>
        <v>0</v>
      </c>
      <c r="D119" s="153">
        <f t="shared" si="41"/>
        <v>0</v>
      </c>
      <c r="E119" s="153">
        <f t="shared" si="41"/>
        <v>0</v>
      </c>
      <c r="F119" s="153">
        <f t="shared" si="41"/>
        <v>322.37129565816679</v>
      </c>
      <c r="G119" s="154">
        <f t="shared" si="41"/>
        <v>385.67961165048541</v>
      </c>
      <c r="H119" s="155">
        <f t="shared" si="41"/>
        <v>0</v>
      </c>
      <c r="I119" s="153">
        <f t="shared" si="41"/>
        <v>0</v>
      </c>
      <c r="J119" s="153">
        <f t="shared" si="41"/>
        <v>0</v>
      </c>
      <c r="K119" s="153">
        <f t="shared" si="41"/>
        <v>0</v>
      </c>
      <c r="L119" s="154">
        <f t="shared" si="41"/>
        <v>0</v>
      </c>
    </row>
    <row r="120" spans="1:12" x14ac:dyDescent="0.3">
      <c r="A120" s="157" t="s">
        <v>111</v>
      </c>
      <c r="C120" s="158">
        <f>+C118-C119</f>
        <v>2645.6926332224002</v>
      </c>
      <c r="D120" s="159">
        <f t="shared" ref="D120:L120" si="42">+D118-D119</f>
        <v>3569.5560181068631</v>
      </c>
      <c r="E120" s="159">
        <f t="shared" si="42"/>
        <v>2475.6182283189955</v>
      </c>
      <c r="F120" s="159">
        <f t="shared" si="42"/>
        <v>3449.3447622329431</v>
      </c>
      <c r="G120" s="160">
        <f t="shared" si="42"/>
        <v>6223.4126213592235</v>
      </c>
      <c r="H120" s="161">
        <f t="shared" si="42"/>
        <v>4175.5810159790126</v>
      </c>
      <c r="I120" s="159">
        <f t="shared" si="42"/>
        <v>701.33333333333337</v>
      </c>
      <c r="J120" s="159">
        <f t="shared" si="42"/>
        <v>701.33333333333326</v>
      </c>
      <c r="K120" s="159">
        <f t="shared" si="42"/>
        <v>701.33333333333326</v>
      </c>
      <c r="L120" s="160">
        <f t="shared" si="42"/>
        <v>701.33333333333337</v>
      </c>
    </row>
    <row r="121" spans="1:12" ht="15" thickBot="1" x14ac:dyDescent="0.35">
      <c r="A121" s="50"/>
      <c r="C121" s="162"/>
      <c r="D121" s="163"/>
      <c r="E121" s="163"/>
      <c r="F121" s="163"/>
      <c r="G121" s="164"/>
      <c r="H121" s="165"/>
      <c r="I121" s="163"/>
      <c r="J121" s="163"/>
      <c r="K121" s="163"/>
      <c r="L121" s="164"/>
    </row>
    <row r="122" spans="1:12" ht="15" thickBot="1" x14ac:dyDescent="0.35">
      <c r="A122" s="157" t="s">
        <v>112</v>
      </c>
      <c r="C122" s="86">
        <f>+C120+C116</f>
        <v>-62.083035457500046</v>
      </c>
      <c r="D122" s="87">
        <f t="shared" ref="D122:L122" si="43">+D120+D116</f>
        <v>2393.1175733570453</v>
      </c>
      <c r="E122" s="87">
        <f t="shared" si="43"/>
        <v>74.273347283577095</v>
      </c>
      <c r="F122" s="87">
        <f t="shared" si="43"/>
        <v>1225.100706409371</v>
      </c>
      <c r="G122" s="88">
        <f t="shared" si="43"/>
        <v>2375.3106796116508</v>
      </c>
      <c r="H122" s="166">
        <f t="shared" si="43"/>
        <v>1050.113651687192</v>
      </c>
      <c r="I122" s="87">
        <f t="shared" si="43"/>
        <v>-718.90680884164851</v>
      </c>
      <c r="J122" s="87">
        <f t="shared" si="43"/>
        <v>-2211.9441727277654</v>
      </c>
      <c r="K122" s="87">
        <f t="shared" si="43"/>
        <v>-1713.1592800275055</v>
      </c>
      <c r="L122" s="88">
        <f t="shared" si="43"/>
        <v>-1388.4505726602388</v>
      </c>
    </row>
    <row r="125" spans="1:12" ht="15" thickBot="1" x14ac:dyDescent="0.35">
      <c r="A125" s="28" t="s">
        <v>113</v>
      </c>
      <c r="C125" s="18"/>
      <c r="D125" s="18"/>
      <c r="E125" s="18"/>
      <c r="F125" s="18"/>
      <c r="G125" s="18"/>
      <c r="H125" s="18"/>
    </row>
    <row r="126" spans="1:12" x14ac:dyDescent="0.3">
      <c r="A126" s="18"/>
      <c r="C126" s="201" t="s">
        <v>114</v>
      </c>
      <c r="D126" s="202"/>
      <c r="E126" s="202"/>
      <c r="F126" s="202"/>
      <c r="G126" s="202"/>
      <c r="H126" s="203"/>
    </row>
    <row r="127" spans="1:12" ht="15" thickBot="1" x14ac:dyDescent="0.35">
      <c r="A127" s="18"/>
      <c r="C127" s="204"/>
      <c r="D127" s="205"/>
      <c r="E127" s="205"/>
      <c r="F127" s="205"/>
      <c r="G127" s="205"/>
      <c r="H127" s="206"/>
    </row>
    <row r="128" spans="1:12" ht="28.8" x14ac:dyDescent="0.3">
      <c r="A128" s="18"/>
      <c r="C128" s="167" t="s">
        <v>115</v>
      </c>
      <c r="D128" s="168" t="s">
        <v>116</v>
      </c>
      <c r="E128" s="168" t="s">
        <v>117</v>
      </c>
      <c r="F128" s="168" t="s">
        <v>118</v>
      </c>
      <c r="G128" s="169" t="s">
        <v>119</v>
      </c>
      <c r="H128" s="170" t="s">
        <v>120</v>
      </c>
    </row>
    <row r="129" spans="1:8" x14ac:dyDescent="0.3">
      <c r="A129" s="18"/>
      <c r="C129" s="171" t="s">
        <v>121</v>
      </c>
      <c r="D129" s="172">
        <v>0</v>
      </c>
      <c r="E129" s="172">
        <v>0</v>
      </c>
      <c r="F129" s="172">
        <v>0</v>
      </c>
      <c r="G129" s="172">
        <v>0</v>
      </c>
      <c r="H129" s="173"/>
    </row>
    <row r="130" spans="1:8" x14ac:dyDescent="0.3">
      <c r="A130" s="18"/>
      <c r="C130" s="174" t="s">
        <v>122</v>
      </c>
      <c r="D130" s="175">
        <v>968054.8</v>
      </c>
      <c r="E130" s="175">
        <v>215571.81</v>
      </c>
      <c r="F130" s="175">
        <v>158612.79</v>
      </c>
      <c r="G130" s="175">
        <v>752482.99</v>
      </c>
      <c r="H130" s="176" t="s">
        <v>169</v>
      </c>
    </row>
    <row r="131" spans="1:8" x14ac:dyDescent="0.3">
      <c r="A131" s="18"/>
      <c r="C131" s="171" t="s">
        <v>123</v>
      </c>
      <c r="D131" s="172">
        <v>0</v>
      </c>
      <c r="E131" s="172">
        <v>0</v>
      </c>
      <c r="F131" s="172">
        <v>0</v>
      </c>
      <c r="G131" s="172">
        <v>0</v>
      </c>
      <c r="H131" s="173"/>
    </row>
    <row r="132" spans="1:8" x14ac:dyDescent="0.3">
      <c r="A132" s="18"/>
      <c r="C132" s="174" t="s">
        <v>124</v>
      </c>
      <c r="D132" s="175">
        <v>0</v>
      </c>
      <c r="E132" s="175">
        <v>0</v>
      </c>
      <c r="F132" s="175">
        <v>0</v>
      </c>
      <c r="G132" s="175">
        <v>0</v>
      </c>
      <c r="H132" s="177"/>
    </row>
    <row r="133" spans="1:8" x14ac:dyDescent="0.3">
      <c r="A133" s="18"/>
      <c r="C133" s="171" t="s">
        <v>125</v>
      </c>
      <c r="D133" s="172">
        <v>0</v>
      </c>
      <c r="E133" s="172">
        <v>0</v>
      </c>
      <c r="F133" s="172">
        <v>0</v>
      </c>
      <c r="G133" s="172">
        <v>0</v>
      </c>
      <c r="H133" s="173"/>
    </row>
    <row r="134" spans="1:8" x14ac:dyDescent="0.3">
      <c r="A134" s="18"/>
      <c r="C134" s="174" t="s">
        <v>126</v>
      </c>
      <c r="D134" s="175">
        <v>0</v>
      </c>
      <c r="E134" s="175">
        <v>0</v>
      </c>
      <c r="F134" s="175">
        <v>0</v>
      </c>
      <c r="G134" s="175">
        <v>0</v>
      </c>
      <c r="H134" s="176"/>
    </row>
    <row r="135" spans="1:8" ht="23.4" thickBot="1" x14ac:dyDescent="0.35">
      <c r="A135" s="18"/>
      <c r="C135" s="178" t="s">
        <v>127</v>
      </c>
      <c r="D135" s="179">
        <v>0</v>
      </c>
      <c r="E135" s="179">
        <v>0</v>
      </c>
      <c r="F135" s="179">
        <v>0</v>
      </c>
      <c r="G135" s="179">
        <v>0</v>
      </c>
      <c r="H135" s="180"/>
    </row>
    <row r="136" spans="1:8" ht="15" thickBot="1" x14ac:dyDescent="0.35">
      <c r="A136" s="18"/>
      <c r="C136" s="181"/>
      <c r="D136" s="182"/>
      <c r="E136" s="182"/>
      <c r="F136" s="182"/>
      <c r="G136" s="182"/>
      <c r="H136" s="183"/>
    </row>
    <row r="137" spans="1:8" ht="15" thickBot="1" x14ac:dyDescent="0.35">
      <c r="A137" s="18"/>
      <c r="C137" s="184" t="s">
        <v>128</v>
      </c>
      <c r="D137" s="185">
        <v>968054.8</v>
      </c>
      <c r="E137" s="185">
        <v>215571.81</v>
      </c>
      <c r="F137" s="185">
        <v>158612.79</v>
      </c>
      <c r="G137" s="185">
        <v>752482.99</v>
      </c>
      <c r="H137" s="183"/>
    </row>
    <row r="138" spans="1:8" x14ac:dyDescent="0.3">
      <c r="A138" s="18"/>
      <c r="C138" s="186"/>
      <c r="D138" s="187"/>
      <c r="E138" s="187"/>
      <c r="F138" s="187"/>
      <c r="G138" s="187"/>
      <c r="H138" s="188"/>
    </row>
    <row r="139" spans="1:8" x14ac:dyDescent="0.3">
      <c r="A139" s="50" t="s">
        <v>129</v>
      </c>
      <c r="C139" s="18"/>
    </row>
    <row r="140" spans="1:8" x14ac:dyDescent="0.3">
      <c r="A140" s="18" t="s">
        <v>130</v>
      </c>
      <c r="C140" s="18"/>
    </row>
    <row r="141" spans="1:8" x14ac:dyDescent="0.3">
      <c r="A141" s="18" t="s">
        <v>131</v>
      </c>
      <c r="C141" s="18"/>
    </row>
    <row r="142" spans="1:8" x14ac:dyDescent="0.3">
      <c r="A142" s="18" t="s">
        <v>132</v>
      </c>
      <c r="C142" s="18"/>
    </row>
    <row r="143" spans="1:8" x14ac:dyDescent="0.3">
      <c r="A143" s="18" t="s">
        <v>133</v>
      </c>
      <c r="C143" s="18"/>
    </row>
    <row r="144" spans="1:8" x14ac:dyDescent="0.3">
      <c r="A144" s="18"/>
      <c r="C144" s="18"/>
    </row>
    <row r="145" spans="1:9" x14ac:dyDescent="0.3">
      <c r="A145" s="50" t="s">
        <v>134</v>
      </c>
      <c r="C145" s="189" t="s">
        <v>135</v>
      </c>
      <c r="D145" s="189" t="s">
        <v>136</v>
      </c>
    </row>
    <row r="146" spans="1:9" x14ac:dyDescent="0.3">
      <c r="A146" s="190" t="s">
        <v>137</v>
      </c>
      <c r="C146" s="191">
        <v>-0.05</v>
      </c>
      <c r="D146" s="192" t="s">
        <v>138</v>
      </c>
    </row>
    <row r="147" spans="1:9" x14ac:dyDescent="0.3">
      <c r="A147" s="190" t="s">
        <v>139</v>
      </c>
      <c r="C147" s="193">
        <v>9586.6312581963193</v>
      </c>
      <c r="D147" s="192" t="s">
        <v>140</v>
      </c>
    </row>
    <row r="148" spans="1:9" x14ac:dyDescent="0.3">
      <c r="A148" s="190" t="s">
        <v>141</v>
      </c>
      <c r="C148" s="191">
        <v>4.7619047619047616E-2</v>
      </c>
      <c r="D148" s="192" t="s">
        <v>142</v>
      </c>
    </row>
    <row r="149" spans="1:9" x14ac:dyDescent="0.3">
      <c r="A149" s="190" t="s">
        <v>143</v>
      </c>
      <c r="C149" s="191">
        <v>0.02</v>
      </c>
      <c r="D149" s="192" t="s">
        <v>144</v>
      </c>
    </row>
    <row r="150" spans="1:9" x14ac:dyDescent="0.3">
      <c r="A150" s="190" t="s">
        <v>145</v>
      </c>
      <c r="C150" s="191">
        <v>-1.8166328780827662E-2</v>
      </c>
      <c r="D150" s="192" t="s">
        <v>146</v>
      </c>
    </row>
    <row r="151" spans="1:9" x14ac:dyDescent="0.3">
      <c r="A151" s="190" t="s">
        <v>67</v>
      </c>
      <c r="C151" s="192"/>
      <c r="D151" s="192"/>
    </row>
    <row r="152" spans="1:9" x14ac:dyDescent="0.3">
      <c r="A152" s="190" t="s">
        <v>147</v>
      </c>
      <c r="C152" s="193">
        <v>0</v>
      </c>
      <c r="D152" s="192" t="s">
        <v>148</v>
      </c>
      <c r="I152" s="194"/>
    </row>
    <row r="153" spans="1:9" x14ac:dyDescent="0.3">
      <c r="A153" s="190" t="s">
        <v>149</v>
      </c>
      <c r="C153" s="193">
        <v>48600</v>
      </c>
      <c r="D153" s="192" t="s">
        <v>150</v>
      </c>
      <c r="I153" s="194"/>
    </row>
    <row r="154" spans="1:9" x14ac:dyDescent="0.3">
      <c r="A154" s="190" t="s">
        <v>151</v>
      </c>
      <c r="C154" s="193">
        <v>245111</v>
      </c>
      <c r="D154" s="192" t="s">
        <v>152</v>
      </c>
      <c r="I154" s="194"/>
    </row>
    <row r="155" spans="1:9" x14ac:dyDescent="0.3">
      <c r="A155" s="190" t="s">
        <v>71</v>
      </c>
      <c r="C155" s="193">
        <v>22644</v>
      </c>
      <c r="D155" s="192" t="s">
        <v>153</v>
      </c>
      <c r="I155" s="194"/>
    </row>
    <row r="156" spans="1:9" x14ac:dyDescent="0.3">
      <c r="A156" s="190" t="s">
        <v>73</v>
      </c>
      <c r="C156" s="193">
        <v>0</v>
      </c>
      <c r="D156" s="192" t="s">
        <v>154</v>
      </c>
      <c r="I156" s="194"/>
    </row>
    <row r="157" spans="1:9" x14ac:dyDescent="0.3">
      <c r="A157" s="190" t="s">
        <v>74</v>
      </c>
      <c r="C157" s="193">
        <v>50329.814105530648</v>
      </c>
      <c r="D157" s="192" t="s">
        <v>155</v>
      </c>
      <c r="I157" s="194"/>
    </row>
    <row r="158" spans="1:9" x14ac:dyDescent="0.3">
      <c r="A158" s="190" t="s">
        <v>156</v>
      </c>
      <c r="C158" s="193">
        <v>7992.6179999999995</v>
      </c>
      <c r="D158" s="192" t="s">
        <v>157</v>
      </c>
      <c r="I158" s="194"/>
    </row>
    <row r="159" spans="1:9" x14ac:dyDescent="0.3">
      <c r="A159" s="190" t="s">
        <v>158</v>
      </c>
      <c r="C159" s="193">
        <v>136240.21679999999</v>
      </c>
      <c r="D159" s="192" t="s">
        <v>159</v>
      </c>
    </row>
    <row r="160" spans="1:9" x14ac:dyDescent="0.3">
      <c r="A160" s="190" t="s">
        <v>160</v>
      </c>
      <c r="C160" s="193">
        <v>10000</v>
      </c>
      <c r="D160" s="192" t="s">
        <v>161</v>
      </c>
    </row>
    <row r="161" spans="1:16" x14ac:dyDescent="0.3">
      <c r="A161" s="190" t="s">
        <v>162</v>
      </c>
      <c r="C161" s="193">
        <v>6000</v>
      </c>
      <c r="D161" s="192" t="s">
        <v>163</v>
      </c>
    </row>
    <row r="162" spans="1:16" x14ac:dyDescent="0.3">
      <c r="A162" s="190" t="s">
        <v>164</v>
      </c>
      <c r="C162" s="193">
        <v>39800</v>
      </c>
      <c r="D162" s="192" t="s">
        <v>165</v>
      </c>
    </row>
    <row r="163" spans="1:16" x14ac:dyDescent="0.3">
      <c r="A163" s="190" t="s">
        <v>166</v>
      </c>
      <c r="C163" s="193">
        <v>188060.12363636366</v>
      </c>
      <c r="D163" s="192" t="s">
        <v>167</v>
      </c>
    </row>
    <row r="164" spans="1:16" x14ac:dyDescent="0.3">
      <c r="A164" s="195"/>
      <c r="C164" s="193"/>
      <c r="D164" s="192" t="s">
        <v>168</v>
      </c>
    </row>
    <row r="165" spans="1:16" x14ac:dyDescent="0.3">
      <c r="P165" s="194"/>
    </row>
    <row r="166" spans="1:16" x14ac:dyDescent="0.3">
      <c r="P166" s="194"/>
    </row>
  </sheetData>
  <mergeCells count="9">
    <mergeCell ref="N9:Q9"/>
    <mergeCell ref="R9:V9"/>
    <mergeCell ref="C126:H127"/>
    <mergeCell ref="C4:L4"/>
    <mergeCell ref="C5:L5"/>
    <mergeCell ref="C6:L6"/>
    <mergeCell ref="C7:L7"/>
    <mergeCell ref="C9:G9"/>
    <mergeCell ref="H9:L9"/>
  </mergeCells>
  <pageMargins left="0.7" right="0.7" top="0.75" bottom="0.75" header="0.3" footer="0.3"/>
  <pageSetup scale="61" fitToHeight="0" orientation="landscape" r:id="rId1"/>
  <rowBreaks count="2" manualBreakCount="2">
    <brk id="63" max="12" man="1"/>
    <brk id="104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ODE - TIS</vt:lpstr>
      <vt:lpstr>'ODE - TIS'!Print_Area</vt:lpstr>
      <vt:lpstr>'ODE - TIS'!Print_Titles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Davis Karousis</dc:creator>
  <cp:lastModifiedBy>Davis Karousis</cp:lastModifiedBy>
  <cp:lastPrinted>2024-04-23T18:52:24Z</cp:lastPrinted>
  <dcterms:created xsi:type="dcterms:W3CDTF">2024-04-23T18:38:47Z</dcterms:created>
  <dcterms:modified xsi:type="dcterms:W3CDTF">2024-04-23T18:52:27Z</dcterms:modified>
</cp:coreProperties>
</file>